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Multifamily" sheetId="2" state="visible" r:id="rId4"/>
    <sheet name="Single-Family" sheetId="3" state="visible" r:id="rId5"/>
    <sheet name="Office" sheetId="4" state="visible" r:id="rId6"/>
    <sheet name="Retail" sheetId="5" state="visible" r:id="rId7"/>
    <sheet name="Industrial" sheetId="6" state="visible" r:id="rId8"/>
    <sheet name="Warehouse" sheetId="7" state="visible" r:id="rId9"/>
    <sheet name="Methodology" sheetId="8" state="visible" r:id="rId10"/>
    <sheet name="Glossary" sheetId="9" state="visible" r:id="rId11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<sst xmlns="http://schemas.openxmlformats.org/spreadsheetml/2006/main" count="1213" uniqueCount="594">
  <si>
    <t xml:space="preserve">ZipToken Developer Hedging Workbook</t>
  </si>
  <si>
    <t xml:space="preserve">Sizing ZHVI-settled binary-contract hedges for real-estate development exposure — six asset-class calculators built on the July 2026 research (developer-risk-metrics-research.md; hedge-sizing-methodology.md).</t>
  </si>
  <si>
    <t xml:space="preserve">WHAT THIS WORKBOOK DOES</t>
  </si>
  <si>
    <t xml:space="preserve">Each asset-class sheet is a working calculator. Seed it with your project's budget, capital stack, timeline and current stage, and it sizes a ZipToken binary-contract hedge program: coverage target C = E × h × d × F, a 3-strike ladder, contract counts N = C / (1 − 1.01p), total premium (and % of TDC), a downside payout check, and guardrail warnings.</t>
  </si>
  <si>
    <t xml:space="preserve">It also benchmarks your deal's yield on cost, development spread, DSCR and debt yield against sourced typical underwriting ranges, and shows capital-at-risk by development stage with a hedgeability flag for each stage.</t>
  </si>
  <si>
    <t xml:space="preserve">Hedge parameters — asset-class betas (LOW/BASE/HIGH), hedge effectiveness, max hedge fractions, the stage hedge schedule and level capitalization floors — live on the Methodology sheet and are editable defaults.</t>
  </si>
  <si>
    <t xml:space="preserve">Every calculator ships seeded with its research worked example (Brooklyn 200-unit MF; Sacramento 40-home for-sale + BTR; 120k SF office; 85k SF grocery-anchored retail; 80k SF light industrial [EST]; 150k SF Inland Empire warehouse), so you can see expected magnitudes before entering your own deal.</t>
  </si>
  <si>
    <t xml:space="preserve">HOW TO USE IT</t>
  </si>
  <si>
    <t xml:space="preserve">1.  Pick your asset-class sheet from the directory below.</t>
  </si>
  <si>
    <t xml:space="preserve">2.  Replace the BLUE input cells with your project: name / geography (state, county, zip), budget lines (land, hard, soft, financing, contingency), LTC, and timeline months.</t>
  </si>
  <si>
    <t xml:space="preserve">3.  Set the dropdowns: current stage, beta case (LOW / BASE / HIGH), scenario case (Rates shock vs Credit bust), and hedge level (zip → state).</t>
  </si>
  <si>
    <t xml:space="preserve">4.  Enter your downside case d (the index decline you underwrite), attach point a (the decline your pro forma tolerates), and live ZipToken prices for each down-strike.</t>
  </si>
  <si>
    <t xml:space="preserve">5.  Read section 3 of the sheet: coverage target, contracts per strike, premium and % of TDC, the downside payout check, and the guardrail flags (weak proxy, capitalization floor, thin book).</t>
  </si>
  <si>
    <t xml:space="preserve">6.  Sanity-check section 4 metrics against the sourced ranges. Formulas and sources: Methodology. Terms: Glossary.</t>
  </si>
  <si>
    <t xml:space="preserve">INPUT CONVENTIONS</t>
  </si>
  <si>
    <t xml:space="preserve">Blue text</t>
  </si>
  <si>
    <t xml:space="preserve">Input cell — yours to edit (every sheet is pre-seeded with its research example)</t>
  </si>
  <si>
    <t xml:space="preserve">Black text</t>
  </si>
  <si>
    <t xml:space="preserve">Formula — do not overwrite; recalculates from the blue inputs</t>
  </si>
  <si>
    <t xml:space="preserve">Green text</t>
  </si>
  <si>
    <t xml:space="preserve">Link to another sheet (Methodology ratio/stage/floor tables)</t>
  </si>
  <si>
    <t xml:space="preserve">Yellow fill</t>
  </si>
  <si>
    <t xml:space="preserve">Key assumption or verification check cell</t>
  </si>
  <si>
    <t xml:space="preserve">Red text</t>
  </si>
  <si>
    <t xml:space="preserve">Warning / guardrail flag</t>
  </si>
  <si>
    <t xml:space="preserve">IMPORTANT DISCLAIMER — READ BEFORE USING</t>
  </si>
  <si>
    <t xml:space="preserve">This workbook is a research and planning tool. It is NOT financial, investment, legal or tax advice, and nothing in it is a recommendation or solicitation to buy or sell any contract. Figures tagged [EST] are research estimates, not market data.</t>
  </si>
  <si>
    <t xml:space="preserve">Hedge effectiveness varies — and for commercial asset classes (office, retail, industrial, warehouse) there is SUBSTANTIAL basis risk to the residential ZHVI settlement index: estimated hedge effectiveness runs as low as 2–20%, and in a rates-driven repricing (the 2022–24 pattern) a ZHVI hedge can pay $0 while the asset loses value. Multifamily rents can move inversely to home prices in the short run.</t>
  </si>
  <si>
    <t xml:space="preserve">Binary contracts either pay $1.00 or expire worthless; premium paid is sunk. Asset-class betas, stage capital-at-risk percentages and seeded contract prices are illustrative research syntheses — they are not calibrated on live ZipToken settlement data and are not live quotes.</t>
  </si>
  <si>
    <t xml:space="preserve">Past co-movement (GFC) does not guarantee future co-movement (2022–24 divergence). Consult your own financial, legal and tax advisors before trading.</t>
  </si>
  <si>
    <t xml:space="preserve">SHEET DIRECTORY</t>
  </si>
  <si>
    <t xml:space="preserve">Sheet</t>
  </si>
  <si>
    <t xml:space="preserve">What it is</t>
  </si>
  <si>
    <t xml:space="preserve">Start Here</t>
  </si>
  <si>
    <t xml:space="preserve">This page — purpose, workflow, conventions, disclaimer.</t>
  </si>
  <si>
    <t xml:space="preserve">Multifamily</t>
  </si>
  <si>
    <t xml:space="preserve">Ground-up rental apartments calculator. Seeded: Brooklyn 200-unit mid-rise, $110M TDC. Partial HPI hedge (β ≈ 0.5).</t>
  </si>
  <si>
    <t xml:space="preserve">Single-Family</t>
  </si>
  <si>
    <t xml:space="preserve">For-sale homebuilder + BTR calculator. Seeded: Sacramento 40-home community, $22.4M revenue. ZipToken's cleanest fit (β ≈ 1.0).</t>
  </si>
  <si>
    <t xml:space="preserve">Office</t>
  </si>
  <si>
    <t xml:space="preserve">Office development calculator. Seeded: 120k SF Sun Belt — the 'does not pencil / not HPI-hedgeable' contrast case.</t>
  </si>
  <si>
    <t xml:space="preserve">Retail</t>
  </si>
  <si>
    <t xml:space="preserve">Anchored-center calculator. Seeded: 85k SF grocery-anchored, $26M TDC. Weak-moderate rooftop-growth proxy.</t>
  </si>
  <si>
    <t xml:space="preserve">Industrial</t>
  </si>
  <si>
    <t xml:space="preserve">Light industrial / shallow-bay calculator. [EST] seeds, 80k SF infill. Weak proxy — guardrail applies.</t>
  </si>
  <si>
    <t xml:space="preserve">Warehouse</t>
  </si>
  <si>
    <t xml:space="preserve">Bulk logistics calculator. Seeded: 150k SF Inland Empire spec, $26M TDC. Lowest HPI co-movement — guardrail applies.</t>
  </si>
  <si>
    <t xml:space="preserve">Methodology</t>
  </si>
  <si>
    <t xml:space="preserve">Proxy ratio table, stage hedge schedule, level floors, sizing formulas, regime toggle, live worked-example verification, sources.</t>
  </si>
  <si>
    <t xml:space="preserve">Glossary</t>
  </si>
  <si>
    <t xml:space="preserve">Development metrics, hedge-sizing terms, and ZipToken platform terms.</t>
  </si>
  <si>
    <t xml:space="preserve">ZipToken Developer Hedging Workbook — Multifamily Calculator</t>
  </si>
  <si>
    <t xml:space="preserve">Seeded with: Brooklyn 200-unit mid-rise rental, $110M TDC (developer-risk-metrics-research.md §2.4). Overwrite BLUE cells with your deal; dropdowns drive stage, beta scenario and level. All outputs are live formulas — see Methodology for ratios/sources, Glossary for terms.</t>
  </si>
  <si>
    <t xml:space="preserve">Blue = input · Black = formula · Green = link to Methodology · Yellow fill = key assumption · Warnings appear in the guardrail rows.</t>
  </si>
  <si>
    <t xml:space="preserve">1. PROJECT INPUTS</t>
  </si>
  <si>
    <t xml:space="preserve">Project name</t>
  </si>
  <si>
    <t xml:space="preserve">Brooklyn 200-Unit Mid-Rise</t>
  </si>
  <si>
    <t xml:space="preserve">State</t>
  </si>
  <si>
    <t xml:space="preserve">NY</t>
  </si>
  <si>
    <t xml:space="preserve">County</t>
  </si>
  <si>
    <t xml:space="preserve">Kings County</t>
  </si>
  <si>
    <t xml:space="preserve">ZIP</t>
  </si>
  <si>
    <t xml:space="preserve">11215</t>
  </si>
  <si>
    <t xml:space="preserve">Development budget ($)</t>
  </si>
  <si>
    <t xml:space="preserve">Land / acquisition</t>
  </si>
  <si>
    <t xml:space="preserve">$75k/unit ≈14% of TDC [EST]</t>
  </si>
  <si>
    <t xml:space="preserve">Hard costs</t>
  </si>
  <si>
    <t xml:space="preserve">≈$350/SF GSF on ~190k GSF (national avg; Rabbet NYC +5.2% y/y)</t>
  </si>
  <si>
    <t xml:space="preserve">Soft costs</t>
  </si>
  <si>
    <t xml:space="preserve">Financing costs</t>
  </si>
  <si>
    <t xml:space="preserve">Contingency + operating shortfall</t>
  </si>
  <si>
    <t xml:space="preserve">Hard-cost contingency 5% + lease-up reserve (Rabbet: 5–10% typical)</t>
  </si>
  <si>
    <t xml:space="preserve">Total development cost (TDC)</t>
  </si>
  <si>
    <t xml:space="preserve">$550k/unit. Budget shares: land 10–25%, hard 55–70%, soft 15–25%, financing 4–8% of TDC.</t>
  </si>
  <si>
    <t xml:space="preserve">Capital stack</t>
  </si>
  <si>
    <t xml:space="preserve">Construction loan-to-cost (LTC)</t>
  </si>
  <si>
    <t xml:space="preserve">Banks 55–65% LTC; debt funds to ~70–75% (Terrydale 2025)</t>
  </si>
  <si>
    <t xml:space="preserve">Construction debt</t>
  </si>
  <si>
    <t xml:space="preserve">Equity required</t>
  </si>
  <si>
    <t xml:space="preserve">Stack: $66M loan + $11M pref (to 70%) + $33M common equity — equity absorbs the first ~8% of value decline</t>
  </si>
  <si>
    <t xml:space="preserve">Timeline (months by stage)</t>
  </si>
  <si>
    <t xml:space="preserve">1. Pre-Dev / Entitlement</t>
  </si>
  <si>
    <t xml:space="preserve">2. Construction</t>
  </si>
  <si>
    <t xml:space="preserve">3. Lease-Up / Sell-Out</t>
  </si>
  <si>
    <t xml:space="preserve">4. Stabilization</t>
  </si>
  <si>
    <t xml:space="preserve">Total (months)</t>
  </si>
  <si>
    <t xml:space="preserve">Current stage (dropdown)</t>
  </si>
  <si>
    <t xml:space="preserve">Drives the stage-recommended hedge fraction and suggested exposure below.</t>
  </si>
  <si>
    <t xml:space="preserve">Downside scenario</t>
  </si>
  <si>
    <t xml:space="preserve">Expected ZHVI decline over tenor (downside case d)</t>
  </si>
  <si>
    <t xml:space="preserve">[EST] seed per methodology worked example 2 convention (MF construction; county ZHVI −6% cumulative)</t>
  </si>
  <si>
    <t xml:space="preserve">Attach point a (decline the pro forma tolerates)</t>
  </si>
  <si>
    <t xml:space="preserve">First strike attaches just below here; buying the 0% strike buys insurance you may not need.</t>
  </si>
  <si>
    <t xml:space="preserve">ZipToken market inputs</t>
  </si>
  <si>
    <t xml:space="preserve">Hedge level (dropdown)</t>
  </si>
  <si>
    <t xml:space="preserve">Zip/city for &lt;$250k coverage; county core $250k–$2M (+ zip overlay ≤25%); county+state blend &gt;$2M.</t>
  </si>
  <si>
    <t xml:space="preserve">β_geo (project geography → hedge level)</t>
  </si>
  <si>
    <t xml:space="preserve">Platform-published child→parent beta, 5-yr monthly window; 1.00 when hedging your own geography.</t>
  </si>
  <si>
    <t xml:space="preserve">Scenario case (dropdown)</t>
  </si>
  <si>
    <t xml:space="preserve">Rates shock</t>
  </si>
  <si>
    <t xml:space="preserve">Credit bust promotes CRE classes one β column (co-crash regime); Rates shock keeps the selected column.</t>
  </si>
  <si>
    <t xml:space="preserve">Beta case (dropdown)</t>
  </si>
  <si>
    <t xml:space="preserve">BASE</t>
  </si>
  <si>
    <t xml:space="preserve">LOW is the honest planning number for 12–24 month tenors; BASE is the long-run estimate.</t>
  </si>
  <si>
    <t xml:space="preserve">Trading fee on buys</t>
  </si>
  <si>
    <t xml:space="preserve">p_eff = p × (1 + fee); resolution/redemption free.</t>
  </si>
  <si>
    <t xml:space="preserve">2. STAGE CAPITAL-AT-RISK</t>
  </si>
  <si>
    <t xml:space="preserve">Stage</t>
  </si>
  <si>
    <t xml:space="preserve">Months</t>
  </si>
  <si>
    <t xml:space="preserve">Capital deployed (cum. % of TDC)</t>
  </si>
  <si>
    <t xml:space="preserve">Capital exposed ($)</t>
  </si>
  <si>
    <t xml:space="preserve">Dominant risk</t>
  </si>
  <si>
    <t xml:space="preserve">Hedgeable with ZHVI?</t>
  </si>
  <si>
    <t xml:space="preserve">Approval denial/delay; land repricing; carry</t>
  </si>
  <si>
    <t xml:space="preserve">Partial — land value HPI-linked (β 1.5–2.5)</t>
  </si>
  <si>
    <t xml:space="preserve">Hard-cost inflation; GC performance; rate drift on floating debt; forward exit-value risk accrues</t>
  </si>
  <si>
    <t xml:space="preserve">Partial — forward value, β ≈ 0.5</t>
  </si>
  <si>
    <t xml:space="preserve">Absorption pace; achieved rents; concessions; operating shortfall</t>
  </si>
  <si>
    <t xml:space="preserve">Partial — rents can move INVERSELY to home prices short-run</t>
  </si>
  <si>
    <t xml:space="preserve">Exit cap rate; buyer financing</t>
  </si>
  <si>
    <t xml:space="preserve">No — rate / capital-markets risk, not HPI</t>
  </si>
  <si>
    <t xml:space="preserve">[EST] Stage percentages are estimates anchored to sourced predevelopment / land / budget-line shares and S-curve draw conventions (HelloData, GatherGov, NAHB, Multifamily.loans, A.CRE) — see Methodology section G. Equity funds first: early-stage exposure is ~100% equity.</t>
  </si>
  <si>
    <t xml:space="preserve">3. HEDGE SIZING — ZipToken binary contracts (C = E × h × d × F;  N = C / (1 − 1.01p))</t>
  </si>
  <si>
    <t xml:space="preserve">β_class (Multifamily value)</t>
  </si>
  <si>
    <t xml:space="preserve">Proxy ratio table, Methodology section A, scenario-adjusted column.</t>
  </si>
  <si>
    <t xml:space="preserve">Hedge effectiveness HE (= ρ², midpoint)</t>
  </si>
  <si>
    <t xml:space="preserve">Share of exposure variance a perfectly sized hedge removes. HE gates; β sizes.</t>
  </si>
  <si>
    <t xml:space="preserve">Max hedge fraction F_max</t>
  </si>
  <si>
    <t xml:space="preserve">Hard cap — low-HE hedges waste premium.</t>
  </si>
  <si>
    <t xml:space="preserve">Stage-recommended hedge fraction</t>
  </si>
  <si>
    <t xml:space="preserve">Midpoint of the stage schedule band (Methodology section B).</t>
  </si>
  <si>
    <t xml:space="preserve">Hedge fraction override (optional)</t>
  </si>
  <si>
    <t xml:space="preserve">Leave blank to use the stage-recommended fraction.</t>
  </si>
  <si>
    <t xml:space="preserve">Hedge fraction F used (capped at F_max)</t>
  </si>
  <si>
    <t xml:space="preserve">Exposure E ($ of value at risk to the index)</t>
  </si>
  <si>
    <t xml:space="preserve">Research §2.4: ~$110M forward asset value exposed for 36–42 months from land close to stabilization</t>
  </si>
  <si>
    <t xml:space="preserve">Suggested E from stage table (reference)</t>
  </si>
  <si>
    <t xml:space="preserve">Capital exposed at the current stage; adjust for presold / pre-leased share and marking to completed value.</t>
  </si>
  <si>
    <t xml:space="preserve">Total hedge ratio h = β_class × β_geo</t>
  </si>
  <si>
    <t xml:space="preserve">Coverage target C = E × h × d × F</t>
  </si>
  <si>
    <t xml:space="preserve">Dollars the hedge must NET (payout minus premium) in the downside case.</t>
  </si>
  <si>
    <t xml:space="preserve">Expected variance removed ≈ HE × F</t>
  </si>
  <si>
    <t xml:space="preserve">The honest effectiveness display — what share of this exposure's variance the program can remove.</t>
  </si>
  <si>
    <t xml:space="preserve">3-strike ladder — digitals approximate a put-spread; strikes descend from just below attach a to the downside case d</t>
  </si>
  <si>
    <t xml:space="preserve">Strike K (cum. ZHVI change ≤)</t>
  </si>
  <si>
    <t xml:space="preserve">Price p</t>
  </si>
  <si>
    <t xml:space="preserve">p_eff = 1.01p</t>
  </si>
  <si>
    <t xml:space="preserve">Allocation</t>
  </si>
  <si>
    <t xml:space="preserve">Coverage C_i</t>
  </si>
  <si>
    <t xml:space="preserve">Contracts N_i</t>
  </si>
  <si>
    <t xml:space="preserve">Premium</t>
  </si>
  <si>
    <t xml:space="preserve">Book depth ($)</t>
  </si>
  <si>
    <t xml:space="preserve">Liquidity flag</t>
  </si>
  <si>
    <t xml:space="preserve">Totals</t>
  </si>
  <si>
    <t xml:space="preserve">Hedge outputs, downside payout check &amp; guardrails</t>
  </si>
  <si>
    <t xml:space="preserve">Total contracts (each pays $1.00 USDC)</t>
  </si>
  <si>
    <t xml:space="preserve">Counts run large because contracts are $1 — the platform quotes bulk sizing at county/state levels.</t>
  </si>
  <si>
    <t xml:space="preserve">Total payout notional if all strikes trip</t>
  </si>
  <si>
    <t xml:space="preserve">Total premium</t>
  </si>
  <si>
    <t xml:space="preserve">Premium as % of TDC</t>
  </si>
  <si>
    <t xml:space="preserve">Headline cost metric.</t>
  </si>
  <si>
    <t xml:space="preserve">Premium as % of exposure E</t>
  </si>
  <si>
    <t xml:space="preserve">Benchmark: institutions paid ~0.5–2% of exposure for IPD downside structures [EST].</t>
  </si>
  <si>
    <t xml:space="preserve">Gross payout at downside d (strikes ≤ d trip)</t>
  </si>
  <si>
    <t xml:space="preserve">Net hedge P&amp;L at downside d</t>
  </si>
  <si>
    <t xml:space="preserve">Should ≈ C — the program nets its coverage target.</t>
  </si>
  <si>
    <t xml:space="preserve">Modeled project loss at d  (E × h × MAX(d − a, 0))</t>
  </si>
  <si>
    <t xml:space="preserve">Net protected position (residual loss after hedge)</t>
  </si>
  <si>
    <t xml:space="preserve">The deliberately retained share: (1 − F) of the modeled loss, plus all risk uncorrelated with ZHVI.</t>
  </si>
  <si>
    <t xml:space="preserve">Coverage ratio at downside</t>
  </si>
  <si>
    <t xml:space="preserve">Guardrail — cross-hedge effectiveness</t>
  </si>
  <si>
    <t xml:space="preserve">Guardrail — level capitalization floor</t>
  </si>
  <si>
    <t xml:space="preserve">Guardrail — book depth</t>
  </si>
  <si>
    <t xml:space="preserve">Settlement basis: first-print Zillow ZHVI (all-homes, mid-tier, SA) at the selected level. Multifamily caveat (2022–24 pattern): if values fall on cap-rate expansion while county ZHVI holds, this hedge pays $0 — it insures the housing-market-driven loss path only.</t>
  </si>
  <si>
    <t xml:space="preserve">4. KEY METRICS vs TYPICAL UNDERWRITING RANGES (sourced benchmarks in gray)</t>
  </si>
  <si>
    <t xml:space="preserve">Revenue drivers (seeded: Brooklyn 200-unit example, research §2.4)</t>
  </si>
  <si>
    <t xml:space="preserve">Units</t>
  </si>
  <si>
    <t xml:space="preserve">Average rent ($/unit/month)</t>
  </si>
  <si>
    <t xml:space="preserve">[EST] free-market, 485-x style tax abatement assumed</t>
  </si>
  <si>
    <t xml:space="preserve">Vacancy</t>
  </si>
  <si>
    <t xml:space="preserve">Other income (% of EGI uplift)</t>
  </si>
  <si>
    <t xml:space="preserve">OpEx (% of EGI)</t>
  </si>
  <si>
    <t xml:space="preserve">Gross potential rent (GPR)</t>
  </si>
  <si>
    <t xml:space="preserve">Effective gross income (EGI)</t>
  </si>
  <si>
    <t xml:space="preserve">Stabilized NOI</t>
  </si>
  <si>
    <t xml:space="preserve">Metrics vs sourced ranges</t>
  </si>
  <si>
    <t xml:space="preserve">Yield on cost (untrended)</t>
  </si>
  <si>
    <t xml:space="preserve">MF ground-up 5.75–7.0%; 2026 lender guidance targets 7–8% (AHLend). Underwrite untrended (A.CRE).</t>
  </si>
  <si>
    <t xml:space="preserve">Market / exit cap rate</t>
  </si>
  <si>
    <t xml:space="preserve">Brooklyn free-market new product 5.00–5.25% (Matthews H1-25 / CapRateIndex); all-class ≈5.6%.</t>
  </si>
  <si>
    <t xml:space="preserve">Development spread</t>
  </si>
  <si>
    <t xml:space="preserve">Norm 150–200 bps for primary-market MF. This example ≈90 bps — thin; 2025–26 NYC pencils only with abatement/subsidy or land-basis resets.</t>
  </si>
  <si>
    <t xml:space="preserve">Perm loan rate (interest-only proxy)</t>
  </si>
  <si>
    <t xml:space="preserve">Debt service (perm, IO)</t>
  </si>
  <si>
    <t xml:space="preserve">DSCR (stabilized)</t>
  </si>
  <si>
    <t xml:space="preserve">Lender minimum 1.20–1.25x (Terrydale 2025; Multifamily.loans); agency takeout ≥1.25x.</t>
  </si>
  <si>
    <t xml:space="preserve">Debt yield</t>
  </si>
  <si>
    <t xml:space="preserve">Perm minimum 8–10% (Terrydale 2025).</t>
  </si>
  <si>
    <t xml:space="preserve">Breakeven occupancy  (OpEx + DS) / GPR</t>
  </si>
  <si>
    <t xml:space="preserve">Typical 62–85%; lenders prefer ≤85% (A.CRE / Wall Street Prep / FNRP). Research example ≈76%.</t>
  </si>
  <si>
    <t xml:space="preserve">Lease-up: 15–25 units/mo in strong markets (~11 months to 95% at 20/mo). No pre-lease requirement — lenders size to stabilized DSCR / debt yield + completion guarantees.</t>
  </si>
  <si>
    <t xml:space="preserve">ZipToken Developer Hedging Workbook — Single-Family Calculator</t>
  </si>
  <si>
    <t xml:space="preserve">Seeded with: Sacramento County 40-home for-sale community ($22.4M revenue) + BTR variant (research §3.4–3.5). Overwrite BLUE cells with your deal; dropdowns drive stage, beta scenario and level. All outputs are live formulas — see Methodology for ratios/sources, Glossary for terms.</t>
  </si>
  <si>
    <t xml:space="preserve">Sacramento 40-Home Community</t>
  </si>
  <si>
    <t xml:space="preserve">CA</t>
  </si>
  <si>
    <t xml:space="preserve">Sacramento County</t>
  </si>
  <si>
    <t xml:space="preserve">95757</t>
  </si>
  <si>
    <t xml:space="preserve">Finished lots at 13.7% of sale price (NAHB 2024)</t>
  </si>
  <si>
    <t xml:space="preserve">Construction at 64.4% of sale price — $360,600/home (NAHB 2024)</t>
  </si>
  <si>
    <t xml:space="preserve">Soft costs (OH/G&amp;A + commissions + marketing)</t>
  </si>
  <si>
    <t xml:space="preserve">5.7% + 2.8% + 0.8% of price (NAHB 2024)</t>
  </si>
  <si>
    <t xml:space="preserve">Contingency / other</t>
  </si>
  <si>
    <t xml:space="preserve">n/a in the NAHB cost grammar — contingency sits inside construction cost</t>
  </si>
  <si>
    <t xml:space="preserve">Homebuilding is a MARGIN model, not a yield model: profit = price − these costs ≈ 11% (NAHB).</t>
  </si>
  <si>
    <t xml:space="preserve">A&amp;D + vertical lines 65–80% LTC, 12–24 mo terms (Crestmont); peak equity ≈ $6M</t>
  </si>
  <si>
    <t xml:space="preserve">Research §3.4: an 11% Sacramento decline erases community profit; −5% cuts it ~45%</t>
  </si>
  <si>
    <t xml:space="preserve">Approval risk (idiosyncratic); land repricing (market)</t>
  </si>
  <si>
    <t xml:space="preserve">Yes (partial) — land tracks HPI; lots strongly</t>
  </si>
  <si>
    <t xml:space="preserve">Lot values; hard cost; forward home prices (phased — capital revolves; peak per-phase shown)</t>
  </si>
  <si>
    <t xml:space="preserve">Yes — finished lots β ≈ 2.0; forward homes β ≈ 1.0</t>
  </si>
  <si>
    <t xml:space="preserve">Absorption pace × home price; incentives = price risk realized (peak inventory 40–70% of a phase)</t>
  </si>
  <si>
    <t xml:space="preserve">Yes — DIRECT: revenue IS the home price</t>
  </si>
  <si>
    <t xml:space="preserve">Rolls to next phase; deposits carry</t>
  </si>
  <si>
    <t xml:space="preserve">n/a — inventory revolves</t>
  </si>
  <si>
    <t xml:space="preserve">[EST] Stage percentages are estimates anchored to sourced predevelopment / land / budget-line shares and S-curve draw conventions (HelloData, GatherGov, NAHB, Multifamily.loans, A.CRE) — see Methodology section G. Equity funds first: early-stage exposure is ~100% equity. For-sale is phased: percentages are PEAK exposure per phase, not cumulative spend.</t>
  </si>
  <si>
    <t xml:space="preserve">β_class (Single-family for-sale)</t>
  </si>
  <si>
    <t xml:space="preserve">Proxy ratio table, Methodology section A. Never promoted — revenue IS the index.</t>
  </si>
  <si>
    <t xml:space="preserve">30 unsold homes × $560k. Research hedgeable notional: $15–20M through the selling window</t>
  </si>
  <si>
    <t xml:space="preserve">Basis note: ZHVI tracks resales — new-home prices can fall via builder incentives while resale ZHVI holds (2025–26 pattern), so even this cleanest hedge retains basis (HE ≈ 0.80–0.95 at matched geography). Absorption ≈ 3 sales/community/month → ~14-month sell-out.</t>
  </si>
  <si>
    <t xml:space="preserve">For-sale margin model — NAHB cost grammar (seeded: Sacramento 40-home example, research §3.4)</t>
  </si>
  <si>
    <t xml:space="preserve">Homes in community</t>
  </si>
  <si>
    <t xml:space="preserve">Average target price ($/home)</t>
  </si>
  <si>
    <t xml:space="preserve">Sacramento County median ≈$525–580k (Redfin/Zillow 2025–26)</t>
  </si>
  <si>
    <t xml:space="preserve">Community revenue</t>
  </si>
  <si>
    <t xml:space="preserve">Gross profit (revenue − TDC)</t>
  </si>
  <si>
    <t xml:space="preserve">Gross margin</t>
  </si>
  <si>
    <t xml:space="preserve">NAHB 2024 average profit 11.0% of price; public builders' homebuilding gross margins 16.5–19% FY2025 (down from 21%+ on incentives — realized home-price risk).</t>
  </si>
  <si>
    <t xml:space="preserve">Profit per home</t>
  </si>
  <si>
    <t xml:space="preserve">Profit erosion at a −5% market</t>
  </si>
  <si>
    <t xml:space="preserve">Research: −5% (−$28k/home) cuts profit ~45%; before any absorption slowdown.</t>
  </si>
  <si>
    <t xml:space="preserve">Market decline that erases all profit</t>
  </si>
  <si>
    <t xml:space="preserve">≈11% — this is why d is seeded at 11% in the downside scenario above.</t>
  </si>
  <si>
    <t xml:space="preserve">Unsold homes (spec + models + WIP)</t>
  </si>
  <si>
    <t xml:space="preserve">Sets hedge exposure E — unsold inventory × price.</t>
  </si>
  <si>
    <t xml:space="preserve">Hedgeable inventory notional</t>
  </si>
  <si>
    <t xml:space="preserve">Research band: $15–20M through the selling window. Exposure runs 12–36 months ahead of closings.</t>
  </si>
  <si>
    <t xml:space="preserve">BTR variant — dual exit (seeded: research worked example B)</t>
  </si>
  <si>
    <t xml:space="preserve">BTR total development cost</t>
  </si>
  <si>
    <t xml:space="preserve">$370k/home: lots $85k + vertical $240k + soft/fin/contingency $45k</t>
  </si>
  <si>
    <t xml:space="preserve">BTR stabilized NOI</t>
  </si>
  <si>
    <t xml:space="preserve">Rent $2,650/mo, 5% vacancy, 30% OpEx</t>
  </si>
  <si>
    <t xml:space="preserve">BTR yield on cost</t>
  </si>
  <si>
    <t xml:space="preserve">Lender bar: YoC ≥7%, target 7–8% (AHLend/Skylatus). 5.7% here — pencils only with cheaper lots/cost or higher rents.</t>
  </si>
  <si>
    <t xml:space="preserve">BTR exit cap rate</t>
  </si>
  <si>
    <t xml:space="preserve">BTR trades 4.5–5.25%, 50–75 bps inside comparable Class A multifamily (Cavan/AHLend).</t>
  </si>
  <si>
    <t xml:space="preserve">BTR development spread</t>
  </si>
  <si>
    <t xml:space="preserve">vs the 150–250 bps viability bar.</t>
  </si>
  <si>
    <t xml:space="preserve">BTR construction LTC</t>
  </si>
  <si>
    <t xml:space="preserve">BTR loan rate (IO proxy)</t>
  </si>
  <si>
    <t xml:space="preserve">BTR DSCR</t>
  </si>
  <si>
    <t xml:space="preserve">Lender minimum 1.20–1.25x.</t>
  </si>
  <si>
    <t xml:space="preserve">BTR debt yield</t>
  </si>
  <si>
    <t xml:space="preserve">Minimum 8–10%.</t>
  </si>
  <si>
    <t xml:space="preserve">Dual-exit note: the for-sale fallback (40 × $525k ≈ $21M gross) is itself an HPI-linked payoff — it strengthens the hedge case. SFR rents +1.2% y/y Dec-2025; underwrite untrended. This class is ZipToken's cleanest fit: revenue IS the local home price.</t>
  </si>
  <si>
    <t xml:space="preserve">ZipToken Developer Hedging Workbook — Office Calculator</t>
  </si>
  <si>
    <t xml:space="preserve">Seeded with: 120k SF suburban Class A office, 60% pre-leased, Sun Belt — the 'does not pencil / not HPI-hedgeable' contrast case (research §4.4). Overwrite BLUE cells with your deal; dropdowns drive stage, beta scenario and level. All outputs are live formulas — see Methodology for ratios/sources, Glossary for terms.</t>
  </si>
  <si>
    <t xml:space="preserve">Sun Belt 120k SF Class A Office</t>
  </si>
  <si>
    <t xml:space="preserve">TX</t>
  </si>
  <si>
    <t xml:space="preserve">Travis County</t>
  </si>
  <si>
    <t xml:space="preserve">78759</t>
  </si>
  <si>
    <t xml:space="preserve">Soft costs + TI allowance</t>
  </si>
  <si>
    <t xml:space="preserve">Office soft costs run high: design, LEED, legal, lease commissions; TI/LC $80–150/SF on new leases</t>
  </si>
  <si>
    <t xml:space="preserve">$400/SF all-in.</t>
  </si>
  <si>
    <t xml:space="preserve">Spec office 50–60% LTC with 30–50% pre-leasing required; non-bank lenders fill gaps (WealthManagement.com)</t>
  </si>
  <si>
    <t xml:space="preserve">[EST] seed — office has no research downside case tied to ZHVI; that absence is the point</t>
  </si>
  <si>
    <t xml:space="preserve">Approvals; land carry</t>
  </si>
  <si>
    <t xml:space="preserve">No — office-district land only weakly HPI-linked</t>
  </si>
  <si>
    <t xml:space="preserve">Cost; rate; tenant-demand drift (pre-lease covenants can be tripped)</t>
  </si>
  <si>
    <t xml:space="preserve">No — office-market factor, not HPI</t>
  </si>
  <si>
    <t xml:space="preserve">Absorption 12–36 months; net effective rents; tenant credit (TI/LC heavy)</t>
  </si>
  <si>
    <t xml:space="preserve">No</t>
  </si>
  <si>
    <t xml:space="preserve">Exit cap — widest tail risk of any class</t>
  </si>
  <si>
    <t xml:space="preserve">No — capital-markets risk</t>
  </si>
  <si>
    <t xml:space="preserve">β_class (Office value)</t>
  </si>
  <si>
    <t xml:space="preserve">TDC exposed through construction; TI/LC draws continue through lease-up</t>
  </si>
  <si>
    <t xml:space="preserve">Included for completeness and to demonstrate which exposures the instrument deliberately does NOT cover: office correlation to metro HPI is weak/unstable (β 0.2–0.8, HE 0.05–0.20). Post-2020 WFH repricing has no ZHVI analog. The correct program here is mostly NOT hedging with ZHVI binaries.</t>
  </si>
  <si>
    <t xml:space="preserve">Revenue drivers (seeded: 120k SF suburban Class A, 60% pre-leased, Sun Belt — research §4.4)</t>
  </si>
  <si>
    <t xml:space="preserve">Rentable SF</t>
  </si>
  <si>
    <t xml:space="preserve">Rent ($/SF, NNN)</t>
  </si>
  <si>
    <t xml:space="preserve">Stabilized occupancy</t>
  </si>
  <si>
    <t xml:space="preserve">Non-reimbursable expenses ($/yr)</t>
  </si>
  <si>
    <t xml:space="preserve">Yield on cost</t>
  </si>
  <si>
    <t xml:space="preserve">Suburban office; stabilized office commonly 6–8%+, widest dispersion of any sector (CBRE H2-25; band [EST]).</t>
  </si>
  <si>
    <t xml:space="preserve">Office requires 250–350+ bps — the widest of all classes (lease-up + obsolescence risk).</t>
  </si>
  <si>
    <t xml:space="preserve">Pre-leased at loan close</t>
  </si>
  <si>
    <t xml:space="preserve">Spec office lenders require 30–50% pre-leasing (40–50% for pure office); LTC 50–60% (WealthManagement.com; OCC handbook).</t>
  </si>
  <si>
    <t xml:space="preserve">Perm loan rate (IO proxy)</t>
  </si>
  <si>
    <t xml:space="preserve">Debt service (IO)</t>
  </si>
  <si>
    <t xml:space="preserve">DSCR</t>
  </si>
  <si>
    <t xml:space="preserve">≥1.25x; office debt yield sits at the high end of the 7–10% band (Terrydale 2025).</t>
  </si>
  <si>
    <t xml:space="preserve">Breakeven occupancy  (fixed OpEx + DS) / GPI</t>
  </si>
  <si>
    <t xml:space="preserve">NNN structure lowers the computed figure; gross-lease office typically ~80–85% (Wall Street Prep band 60–85%).</t>
  </si>
  <si>
    <t xml:space="preserve">This example is the 'does not pencil / not HPI-hedgeable' contrast case: YoC 6.1% vs 7.25% cap = NEGATIVE ≈115 bps spread against a required 250–350+ bps (DealForge). At a 7.25% cap you need YoC ≥9.75% — TDC ≤$30M or rents ≥$44/SF. Office outcomes hedge against employment/space demand, not home prices.</t>
  </si>
  <si>
    <t xml:space="preserve">ZipToken Developer Hedging Workbook — Retail Calculator</t>
  </si>
  <si>
    <t xml:space="preserve">Seeded with: 85k SF grocery-anchored neighborhood center, suburban growth corridor, $26M TDC (research §5.4). Overwrite BLUE cells with your deal; dropdowns drive stage, beta scenario and level. All outputs are live formulas — see Methodology for ratios/sources, Glossary for terms.</t>
  </si>
  <si>
    <t xml:space="preserve">Growth-Corridor Grocery-Anchored Center</t>
  </si>
  <si>
    <t xml:space="preserve">Collin County</t>
  </si>
  <si>
    <t xml:space="preserve">75071</t>
  </si>
  <si>
    <t xml:space="preserve">Retail is land-hungry (parking ratios): land 12–20% of TDC</t>
  </si>
  <si>
    <t xml:space="preserve">Soft costs + TI/LC</t>
  </si>
  <si>
    <t xml:space="preserve">$2.8M soft + $2.2M TI/LC per the research example</t>
  </si>
  <si>
    <t xml:space="preserve">$306/SF.</t>
  </si>
  <si>
    <t xml:space="preserve">60–70% once anchored; executed anchor lease was a condition precedent (Crestmont)</t>
  </si>
  <si>
    <t xml:space="preserve">[EST] proxy for trade-area rooftop-growth risk — retail's one genuine HPI channel</t>
  </si>
  <si>
    <t xml:space="preserve">Anchor commitment (binary); approvals; land</t>
  </si>
  <si>
    <t xml:space="preserve">Idiosyncratic (tenant credit); land partially</t>
  </si>
  <si>
    <t xml:space="preserve">Cost; anchor delivery conditions</t>
  </si>
  <si>
    <t xml:space="preserve">No — idiosyncratic / contractual</t>
  </si>
  <si>
    <t xml:space="preserve">Inline rents / absorption; co-tenancy cliff (~70% occupancy)</t>
  </si>
  <si>
    <t xml:space="preserve">Indirect — rooftop-growth proxy (weak-moderate HPI correlation)</t>
  </si>
  <si>
    <t xml:space="preserve">Cap rate; anchor term remaining</t>
  </si>
  <si>
    <t xml:space="preserve">No — capital markets</t>
  </si>
  <si>
    <t xml:space="preserve">β_class (Retail value)</t>
  </si>
  <si>
    <t xml:space="preserve">TDC exposed; anchor open at CO, inline lease-up 6–18 months</t>
  </si>
  <si>
    <t xml:space="preserve">ZipToken relevance is low-moderate: developers building ahead of housing growth carry trade-area risk that correlates with local home prices — a ZIP-level ZHVI hedge is a PROXY hedge on rooftop growth. The anchor-dark / co-tenancy cascade is uninsurable by an HPI instrument.</t>
  </si>
  <si>
    <t xml:space="preserve">Revenue drivers (seeded: 85k SF grocery-anchored center, suburban growth corridor — research §5.4)</t>
  </si>
  <si>
    <t xml:space="preserve">Anchor GLA (SF)</t>
  </si>
  <si>
    <t xml:space="preserve">Anchors occupy 50–70% of GLA at low rents; 15–25 yr NNN, executed lease = condition precedent.</t>
  </si>
  <si>
    <t xml:space="preserve">Anchor rent ($/SF, NNN)</t>
  </si>
  <si>
    <t xml:space="preserve">Inline GLA (SF)</t>
  </si>
  <si>
    <t xml:space="preserve">Inline rent ($/SF, NNN)</t>
  </si>
  <si>
    <t xml:space="preserve">Inline pays 2–3× anchor rent (ICSC convention).</t>
  </si>
  <si>
    <t xml:space="preserve">Inline occupancy</t>
  </si>
  <si>
    <t xml:space="preserve">Grocery-anchored ≈5.75–6.0%, compressed from ~6.5% a year earlier (CRE Daily/ICSC; CBRE H2-25).</t>
  </si>
  <si>
    <t xml:space="preserve">150–250 bps generic band — this example ≈155 bps, pencils; grocery-anchored is the most financeable retail subtype.</t>
  </si>
  <si>
    <t xml:space="preserve">≥1.25x (Terrydale 2025).</t>
  </si>
  <si>
    <t xml:space="preserve">8–10% minimum.</t>
  </si>
  <si>
    <t xml:space="preserve">Inline rent sensitivity: YoC at inline −15%</t>
  </si>
  <si>
    <t xml:space="preserve">Research: inline −15% → YoC ~6.9%, spread &lt;120 bps.</t>
  </si>
  <si>
    <t xml:space="preserve">Co-tenancy cliff: inline tenants get rent relief / termination if the anchor goes dark or occupancy &lt;~70% — a binary risk no HPI instrument insures. Breakeven occupancy ≈68% [EST], helped by the anchor covering fixed costs. Pre-lease requirement: anchor executed + 50–70% total before construction funding (Crestmont).</t>
  </si>
  <si>
    <t xml:space="preserve">ZipToken Developer Hedging Workbook — Industrial Calculator</t>
  </si>
  <si>
    <t xml:space="preserve">Seeded with: 80k SF light-industrial / shallow-bay multi-tenant infill — [EST] seeds; no research worked example for light industrial. Overwrite BLUE cells with your deal; dropdowns drive stage, beta scenario and level. All outputs are live formulas — see Methodology for ratios/sources, Glossary for terms.</t>
  </si>
  <si>
    <t xml:space="preserve">Infill 80k SF Shallow-Bay Industrial</t>
  </si>
  <si>
    <t xml:space="preserve">Riverside County</t>
  </si>
  <si>
    <t xml:space="preserve">92507</t>
  </si>
  <si>
    <t xml:space="preserve">Hard costs (incl. TI)</t>
  </si>
  <si>
    <t xml:space="preserve">Industrial soft costs are the lowest of any class (10–15%) — simple product</t>
  </si>
  <si>
    <t xml:space="preserve">55–65% LTC; spec financeable with no pre-leasing in strong corridors</t>
  </si>
  <si>
    <t xml:space="preserve">[EST] seed — light industrial demand is local-business driven; weak HPI link</t>
  </si>
  <si>
    <t xml:space="preserve">CEQA / community opposition; land value</t>
  </si>
  <si>
    <t xml:space="preserve">No — industrial land is an industrial-market factor</t>
  </si>
  <si>
    <t xml:space="preserve">Cost; rate (fast build: 10–14 months)</t>
  </si>
  <si>
    <t xml:space="preserve">No — idiosyncratic / rate-hedgeable</t>
  </si>
  <si>
    <t xml:space="preserve">Rent level + downtime; granular local-business demand</t>
  </si>
  <si>
    <t xml:space="preserve">Weak — contractor/services tenancy follows rooftops</t>
  </si>
  <si>
    <t xml:space="preserve">Cap rate</t>
  </si>
  <si>
    <t xml:space="preserve">β_class (Industrial / warehouse value)</t>
  </si>
  <si>
    <t xml:space="preserve">TDC exposed through lease-up (multi-tenant, 6–18 months to stabilize)</t>
  </si>
  <si>
    <t xml:space="preserve">Slightly higher HPI relevance than big-box — light industrial in housing-growth submarkets leases to rooftop-following tenants — but the class beta is 0.1–0.5 with HE 0.02–0.12: the weak-proxy guardrail above applies. Consider hedging only the housing-linked slice.</t>
  </si>
  <si>
    <t xml:space="preserve">Revenue drivers ([EST] light-industrial / shallow-bay seeds — the research doc has no light-industrial worked example)</t>
  </si>
  <si>
    <t xml:space="preserve">Building SF</t>
  </si>
  <si>
    <t xml:space="preserve">Multi-tenant shallow-bay, suites 5k–50k SF, ≤32' clear, infill (NAIOP flex/light classification).</t>
  </si>
  <si>
    <t xml:space="preserve">Rent ($/SF/yr, NNN)</t>
  </si>
  <si>
    <t xml:space="preserve">Equals $1.40/SF/mo — small-bay premium over big-box [EST].</t>
  </si>
  <si>
    <t xml:space="preserve">Light/flex ≈5.5–6.25% [EST — thinner-traded than big-box].</t>
  </si>
  <si>
    <t xml:space="preserve">150–250 bps industrial band (DealForge) — pencils.</t>
  </si>
  <si>
    <t xml:space="preserve">≥1.20–1.25x (Terrydale 2025).</t>
  </si>
  <si>
    <t xml:space="preserve">8–10% at takeout.</t>
  </si>
  <si>
    <t xml:space="preserve">Multi-tenant absorption 6–18 months to stabilize; construction 10–14 months — fastest of any class. Slightly higher HPI relevance than big-box (contractor/services tenancy follows rooftops in housing-growth submarkets) — but still a weak proxy; see the guardrail above.</t>
  </si>
  <si>
    <t xml:space="preserve">ZipToken Developer Hedging Workbook — Warehouse Calculator</t>
  </si>
  <si>
    <t xml:space="preserve">Seeded with: 150k SF spec bulk warehouse, Inland Empire East, $26M TDC (research §6.4). Overwrite BLUE cells with your deal; dropdowns drive stage, beta scenario and level. All outputs are live formulas — see Methodology for ratios/sources, Glossary for terms.</t>
  </si>
  <si>
    <t xml:space="preserve">IE East 150k SF Spec Bulk Warehouse</t>
  </si>
  <si>
    <t xml:space="preserve">92551</t>
  </si>
  <si>
    <t xml:space="preserve">$25/land-SF on 7.5 acres — 31% of TDC; IE land is the swing item</t>
  </si>
  <si>
    <t xml:space="preserve">Hard costs (shell $12.75M + TI $0.75M)</t>
  </si>
  <si>
    <t xml:space="preserve">Shell $85/SF; tilt-up panel package $25–40/SF (Terrapin/Red Stag bands)</t>
  </si>
  <si>
    <t xml:space="preserve">$173/SF.</t>
  </si>
  <si>
    <t xml:space="preserve">55–65% LTC; spec — no pre-lease required in tier-1 corridors</t>
  </si>
  <si>
    <t xml:space="preserve">[EST] seed. Note: 2023–25 IE rents fell −11.4% y/y with home prices flat — a ZHVI hedge would have paid $0</t>
  </si>
  <si>
    <t xml:space="preserve">CEQA (IE); land value — land-heavy corridor (31% of TDC at land close)</t>
  </si>
  <si>
    <t xml:space="preserve">No — logistics land ≠ HPI</t>
  </si>
  <si>
    <t xml:space="preserve">Single-tenant binary lease-up; 12-mo vacant carry ≈ $1.3M</t>
  </si>
  <si>
    <t xml:space="preserve">No — national logistics demand (trade / e-commerce / 3PL)</t>
  </si>
  <si>
    <t xml:space="preserve">TDC exposed; single-tenant lease-up is binary (0% → 100%)</t>
  </si>
  <si>
    <t xml:space="preserve">Lowest HPI co-movement of the majors (industrial was the STRONGEST CRE sector precisely while housing slowed 2022–23). β 0.1–0.5, HE 0.02–0.12 — the weak-proxy guardrail applies; ZipToken relevance for big-box is low and the workbook says so out loud.</t>
  </si>
  <si>
    <t xml:space="preserve">Revenue drivers (seeded: 150k SF spec bulk warehouse, Inland Empire East — research §6.4)</t>
  </si>
  <si>
    <t xml:space="preserve">7.5 acres at 46% coverage; land $25/land-SF — IE is land-heavy (31% of TDC).</t>
  </si>
  <si>
    <t xml:space="preserve">Equals $1.08/SF/mo, between IE East $0.99 and prime-new $1.45 prints (C&amp;W Q2-25; KEYZ). Rents fell −11.4% y/y.</t>
  </si>
  <si>
    <t xml:space="preserve">Institutional IE big-box 5.0–5.5%; IE average 6.1% incl. cautious trades (KEYZ; InlandEmpireWarehouse Q1-25).</t>
  </si>
  <si>
    <t xml:space="preserve">Inside the 175–250 bps logistics band (DealForge) — pencils.</t>
  </si>
  <si>
    <t xml:space="preserve">Downside test: NOI at $0.90/SF/mo</t>
  </si>
  <si>
    <t xml:space="preserve">→ YoC ≈6.0%, spread ~50–75 bps — underwater. This happened 2023–25 purely from industrial demand, with IE home prices flat: why HPI is the wrong hedge here.</t>
  </si>
  <si>
    <t xml:space="preserve">Single-tenant binary lease-up: 0%→100%; underwrite 6–12 months downtime (12 months vacant ≈ $1.3M debt service + OpEx). Spec accepted with no pre-leasing in tier-1 corridors — unique among commercial classes. Demand driver: national consumption/trade/3PL, not housing.</t>
  </si>
  <si>
    <t xml:space="preserve">ZipToken Developer Hedging Workbook — Methodology</t>
  </si>
  <si>
    <t xml:space="preserve">Proxy hedge ratios, sizing formulas, stage schedule, level floors, regime toggle, and live verification of the two arithmetic-checked worked examples. Sources: docs/research/hedge-sizing-methodology.md and docs/research/developer-risk-metrics-research.md (July 2026). Blue cells are editable defaults.</t>
  </si>
  <si>
    <t xml:space="preserve">A. PROXY HEDGE RATIO TABLE — β sizes the hedge, HE gates it (editable defaults)</t>
  </si>
  <si>
    <t xml:space="preserve">Asset class</t>
  </si>
  <si>
    <t xml:space="preserve">β LOW</t>
  </si>
  <si>
    <t xml:space="preserve">β BASE</t>
  </si>
  <si>
    <t xml:space="preserve">β HIGH</t>
  </si>
  <si>
    <t xml:space="preserve">Long-run ρ</t>
  </si>
  <si>
    <t xml:space="preserve">HE low</t>
  </si>
  <si>
    <t xml:space="preserve">HE high</t>
  </si>
  <si>
    <t xml:space="preserve">HE mid (=ρ²)</t>
  </si>
  <si>
    <t xml:space="preserve">Confidence</t>
  </si>
  <si>
    <t xml:space="preserve">Single-family for-sale (matched geo)</t>
  </si>
  <si>
    <t xml:space="preserve">0.90–0.97</t>
  </si>
  <si>
    <t xml:space="preserve">High</t>
  </si>
  <si>
    <t xml:space="preserve">Condo for-sale (vs. all-homes ZHVI)</t>
  </si>
  <si>
    <t xml:space="preserve">0.80–0.90</t>
  </si>
  <si>
    <t xml:space="preserve">Medium-High</t>
  </si>
  <si>
    <t xml:space="preserve">SFR / BTR rental (value)</t>
  </si>
  <si>
    <t xml:space="preserve">0.85–0.92</t>
  </si>
  <si>
    <t xml:space="preserve">Residential land / lots</t>
  </si>
  <si>
    <t xml:space="preserve">Multifamily value</t>
  </si>
  <si>
    <t xml:space="preserve">0.40–0.60</t>
  </si>
  <si>
    <t xml:space="preserve">Medium</t>
  </si>
  <si>
    <t xml:space="preserve">Multifamily NOI / rents</t>
  </si>
  <si>
    <t xml:space="preserve">0.20–0.40</t>
  </si>
  <si>
    <t xml:space="preserve">Low-Medium</t>
  </si>
  <si>
    <t xml:space="preserve">Retail value</t>
  </si>
  <si>
    <t xml:space="preserve">0.30–0.50</t>
  </si>
  <si>
    <t xml:space="preserve">Low</t>
  </si>
  <si>
    <t xml:space="preserve">Office value</t>
  </si>
  <si>
    <t xml:space="preserve">0.20–0.45</t>
  </si>
  <si>
    <t xml:space="preserve">Industrial / warehouse value</t>
  </si>
  <si>
    <t xml:space="preserve">0.15–0.35</t>
  </si>
  <si>
    <t xml:space="preserve">[EST] All BASE values are syntheses of the SOURCED evidence in hedge-sizing-methodology.md §3 (Gyourko NBER w14708 ρ≈0.4–0.6 housing↔CRE; Urban Institute GFC MF −40% vs. Case-Shiller −32%; KC Fed 2022–24 divergence; Davis-Heathcote / Bostic land leverage; Wolf Street condo overshoot). No published β exists for e.g. 'office vs. county ZHVI'.</t>
  </si>
  <si>
    <t xml:space="preserve">Reading rules: β sizes, HE gates — cap the hedge fraction at F_max because low-HE hedges waste premium. Downside (credit-bust) betas sit nearer the HIGH column: GFC conditional ratio −40%/−32% ≈ 1.25× for multifamily values.</t>
  </si>
  <si>
    <t xml:space="preserve">B. STAGE HEDGE SCHEDULE — F ramps with capital at risk, falls with optionality remaining</t>
  </si>
  <si>
    <t xml:space="preserve">Exposure definition E(t)</t>
  </si>
  <si>
    <t xml:space="preserve">F low</t>
  </si>
  <si>
    <t xml:space="preserve">F high</t>
  </si>
  <si>
    <t xml:space="preserve">F mid</t>
  </si>
  <si>
    <t xml:space="preserve">Tenor / structure</t>
  </si>
  <si>
    <t xml:space="preserve">Level</t>
  </si>
  <si>
    <t xml:space="preserve">Land basis + pursuit costs at risk (option premium only, if optioned)</t>
  </si>
  <si>
    <t xml:space="preserve">Single strike at underwriting downside; expiry = entitlement/GO decision date</t>
  </si>
  <si>
    <t xml:space="preserve">Costs incurred + committed, marked against projected completed value (S-curve ramp); reduce by presold/pre-leased share</t>
  </si>
  <si>
    <t xml:space="preserve">2–3 strike ladder; quarterly strip expiring CO + 1–2 quarters</t>
  </si>
  <si>
    <t xml:space="preserve">County core + zip overlay ≤25%</t>
  </si>
  <si>
    <t xml:space="preserve">Unsold inventory value (for-sale) or un-leased NOI × cap-rate value (rental)</t>
  </si>
  <si>
    <t xml:space="preserve">Ladder rolled quarterly against the absorption curve; unwind pro-rata as units close</t>
  </si>
  <si>
    <t xml:space="preserve">County core + zip/neighborhood overlay</t>
  </si>
  <si>
    <t xml:space="preserve">Value at risk to exit cap rate / appraisal at refi or sale date</t>
  </si>
  <si>
    <t xml:space="preserve">Single strike at the refi-breaks level; expiry = exit window; consider SpreadMarket basis-only hedge</t>
  </si>
  <si>
    <t xml:space="preserve">County or state (size)</t>
  </si>
  <si>
    <t xml:space="preserve">Corporate hedging practice clusters ~50% of exposure hedged (MillTech Q1-26 monitor: mean 57%, bands 25–75%) [SOURCED]. Size UP when: presales slow vs. pro forma; overlay-zip supply pipeline grows; down-strikes are cheap; stage advances (optionality burned). Size DOWN when: units go hard-contract; refi rate-locks; strikes trade rich; index has already fallen through the deepest strike.</t>
  </si>
  <si>
    <t xml:space="preserve">C. GEOGRAPHIC LEVELS, CAPITALIZATION FLOORS &amp; NOTIONAL BANDS</t>
  </si>
  <si>
    <t xml:space="preserve">Capitalization floor</t>
  </si>
  <si>
    <t xml:space="preserve">Liquidity / usage</t>
  </si>
  <si>
    <t xml:space="preserve">Zip</t>
  </si>
  <si>
    <t xml:space="preserve">Long-tail, AMM-backstopped; use for basis overlays only (≤25% of coverage)</t>
  </si>
  <si>
    <t xml:space="preserve">Neighborhood</t>
  </si>
  <si>
    <t xml:space="preserve">Long-tail, AMM-backstopped</t>
  </si>
  <si>
    <t xml:space="preserve">City</t>
  </si>
  <si>
    <t xml:space="preserve">Curated listings</t>
  </si>
  <si>
    <t xml:space="preserve">Always-on with DMM depth — the institutional default hedge level</t>
  </si>
  <si>
    <t xml:space="preserve">Deepest books; blend county + state above $2M coverage</t>
  </si>
  <si>
    <t xml:space="preserve">Notional bands (§6 of methodology doc): coverage &lt; $250k → zip or city; $250k–$2M → county core (75–100%) + zip/neighborhood overlay (0–25%); &gt; $2M → county + state blend. Prefer the highest level whose 5-yr β_geo R² ≥ 0.75 [EST]. Thin-book rule: flag when contracts N_i &gt; 10 × resting book depth.</t>
  </si>
  <si>
    <t xml:space="preserve">D. SIZING FORMULAS (implemented live on every calculator sheet)</t>
  </si>
  <si>
    <t xml:space="preserve">h* = ρ × (σ_asset / σ_index) = β(asset → index) — minimum-variance hedge ratio.   HE = ρ² — share of exposure variance the hedge removes.</t>
  </si>
  <si>
    <t xml:space="preserve">h_total = β_class × β_geo.   β_geo = platform-published child→parent beta (5-yr monthly window); 1.00 when hedging at the project's own geography.</t>
  </si>
  <si>
    <t xml:space="preserve">p_eff = p × (1 + fee) = 1.01p (1% trading fee on buys).   Net payout per contract if triggered = 1 − 1.01p (premium is sunk).</t>
  </si>
  <si>
    <t xml:space="preserve">Coverage C = E × h_total × d × F  — dollars the hedge must NET in the downside. F is hard-capped at F_max from table A.</t>
  </si>
  <si>
    <t xml:space="preserve">Ladder: strikes descend from just below the attach point a (pro forma break-even decline) to the downside case d. Default allocation 40/35/25 across 3 strikes [EST convention — front-loads the high-probability shallow slice].</t>
  </si>
  <si>
    <t xml:space="preserve">Contracts N_i = ROUNDUP( C_i / (1 − p_eff,i) ) — grosses the position up so payout − premium = C_i exactly when the strike trips.   Premium_i = N_i × p_eff,i.</t>
  </si>
  <si>
    <t xml:space="preserve">Cost intuition: premium per protected dollar = p_eff / (1 − p_eff) — a 15¢ contract ≈ 17.8¢, a 40¢ contract ≈ 67¢. Hedge before the market prices the downturn.</t>
  </si>
  <si>
    <t xml:space="preserve">Scenario checks: gross_payout(x) = Σ N_i over tripped strikes (K_i ≤ x);  project_loss(x) = E × h × MAX(x − a, 0);  net_protected = loss − (payout − premium).</t>
  </si>
  <si>
    <t xml:space="preserve">Tenor: match expiries to the stage timeline with rolled quarterly strips weighted to the unsold-balance curve; re-strike at each roll; unwind at bid when exposure disappears.</t>
  </si>
  <si>
    <t xml:space="preserve">Guardrails: (1) a &lt; K1 ≤ K2 ≤ K3 = d;  (2) F silently capped at F_max with a visible note;  (3) HE &lt; 0.15 → weak-proxy warning;  (4) show contract counts AND $ payout notionals.</t>
  </si>
  <si>
    <t xml:space="preserve">E. REGIME TOGGLE — the 'Scenario case' dropdown on each calculator</t>
  </si>
  <si>
    <t xml:space="preserve">Credit bust: housing and CRE crash TOGETHER (GFC: Moody's multifamily −40% vs. Case-Shiller −32%; all-property CPPI ≈−40%). The toggle promotes multifamily / retail / office / industrial one β column (LOW→BASE, BASE→HIGH), reflecting the higher conditional downside beta.</t>
  </si>
  <si>
    <t xml:space="preserve">Rates shock: CRE reprices on cap-rate expansion while ZHVI holds (2022–24: multifamily −16% to −28% with home prices flat/up). β stays at the selected column — and the tear-sheet warning applies: a ZHVI hedge pays $0 on this loss path. It insures the housing-market-driven loss path only.</t>
  </si>
  <si>
    <t xml:space="preserve">Single-family for-sale is never promoted — its revenue IS the settlement index (β ≈ 1 in all regimes).</t>
  </si>
  <si>
    <t xml:space="preserve">Short-window (1–3 yr) CRE-vs-housing correlations range ~0 to ~0.8 depending on the shock; the LOW column is the honest planning number for 12–24 month tenors [EST].</t>
  </si>
  <si>
    <t xml:space="preserve">F. WORKED-EXAMPLE VERIFICATION — live formulas reproducing the methodology doc (do not overwrite)</t>
  </si>
  <si>
    <t xml:space="preserve">Worked Example 1 — Brooklyn condo sell-out (hedge-sizing-methodology.md §10)</t>
  </si>
  <si>
    <t xml:space="preserve">Exposure E (60 unsold units × $800k)</t>
  </si>
  <si>
    <t xml:space="preserve">β_class (condo for-sale; user midpoint of 1.0–1.1)</t>
  </si>
  <si>
    <t xml:space="preserve">β_geo (zip 11215 → Kings County)</t>
  </si>
  <si>
    <t xml:space="preserve">Downside d (Kings Co ZHVI, 18-mo tenor)</t>
  </si>
  <si>
    <t xml:space="preserve">Attach a (pro forma break-even)</t>
  </si>
  <si>
    <t xml:space="preserve">Hedge fraction F (stage 3; ≤ 65% condo cap)</t>
  </si>
  <si>
    <t xml:space="preserve">Buy fee</t>
  </si>
  <si>
    <t xml:space="preserve">Project budget</t>
  </si>
  <si>
    <t xml:space="preserve">h_total = β_class × β_geo</t>
  </si>
  <si>
    <t xml:space="preserve">Coverage C = E × h × d × F</t>
  </si>
  <si>
    <t xml:space="preserve">Premium % of project budget</t>
  </si>
  <si>
    <t xml:space="preserve">Doc: 0.72% of $65M budget; 0.97% of unsold inventory — inside the 0.5–2% band institutions paid for IPD downside structures [EST].</t>
  </si>
  <si>
    <t xml:space="preserve">Net hedge P&amp;L at −8% (all strikes trip)</t>
  </si>
  <si>
    <t xml:space="preserve">Reconciliation note: the exact-formula premium is $466,688. The doc's printed $466,685 reflects a 23-contract arithmetic slip in its strike-2 row (705,600 ÷ 0.8586 = 821,803, printed as 821,780). All other rows tie out; the $3 difference (0.0007%) is the doc's, not the workbook's. Coverage C and net downside P&amp;L reproduce to the dollar.</t>
  </si>
  <si>
    <t xml:space="preserve">Worked Example 2 — Sacramento multifamily construction (hedge-sizing-methodology.md §11)</t>
  </si>
  <si>
    <t xml:space="preserve">Exposure E (marked to projected completed value; cost $90M)</t>
  </si>
  <si>
    <t xml:space="preserve">β_class (multifamily value BASE; rates-shock keeps BASE)</t>
  </si>
  <si>
    <t xml:space="preserve">β_geo (own county)</t>
  </si>
  <si>
    <t xml:space="preserve">Downside d (Sacramento Co ZHVI, 24-mo cumulative)</t>
  </si>
  <si>
    <t xml:space="preserve">Hedge fraction F (= 35% F_max cap for the class)</t>
  </si>
  <si>
    <t xml:space="preserve">Project cost</t>
  </si>
  <si>
    <t xml:space="preserve">Contract (tenor ladder)</t>
  </si>
  <si>
    <t xml:space="preserve">12-mo, county ZHVI ≤ −3%</t>
  </si>
  <si>
    <t xml:space="preserve">24-mo, county ZHVI ≤ −5%</t>
  </si>
  <si>
    <t xml:space="preserve">Premium % of project cost</t>
  </si>
  <si>
    <t xml:space="preserve">Net hedge P&amp;L at downside (both trip)</t>
  </si>
  <si>
    <t xml:space="preserve">Effectiveness banner: HE 0.25 × F 35% ⇒ ≈9% of exposure variance removed — the honest disclosure. Rates-shock divergence risk: if values fall on cap-rate expansion while county ZHVI holds (2022–24 pattern), this hedge pays $0.</t>
  </si>
  <si>
    <t xml:space="preserve">G. SOURCE CITATIONS (condensed register from both research docs)</t>
  </si>
  <si>
    <t xml:space="preserve">PRO FORMA GRAMMAR &amp; METRICS — Adventures in CRE (A.CRE): Apartment/Multifamily/BTR/SF-home/Land/Industrial/Ai1 development models; glossary (Yield-on-Cost, Development Spread, Breakeven Occupancy); Development Spread case study; Untrended vs Trended; Pursuit Capital; Entitlement Process. adventuresincre.com</t>
  </si>
  <si>
    <t xml:space="preserve">COST &amp; BUDGET SHARES — NAHB Cost of Constructing a Home 2024 (construction 64.4% / lot 13.7% / profit 11.0% of price); Multifamily.loans construction cost guide (~19% land, ~$350/SF); SmartBarrel hard-vs-soft; Rabbet contingency (hard 5–10%, soft 10–20%) &amp; NYC costs +5.2% y/y; HelloData predevelopment; GatherGov entitlement (15–30% of budget at risk).</t>
  </si>
  <si>
    <t xml:space="preserve">LENDING BENCHMARKS — Terrydale Capital DSCR &amp; LTV 2025 (DSCR 1.20–1.25x min; debt yield 7–10%; LTV ~63%); Multifamily.loans DSCR ≥1.25x; WealthManagement.com spec-office LTC 50–60%, pre-lease 30–50%; Crestmont development/land loans (A&amp;D 65–80% LTC; retail pre-lease 50–70%); OCC CRE Lending Handbook; Skylatus &amp; AHLend BTR (YoC ≥7%).</t>
  </si>
  <si>
    <t xml:space="preserve">MARKET DATA — CBRE US Cap Rate Survey H1/H2 2025; Matthews Brooklyn H1 2025 (~5.6% all-class); CapRateIndex Brooklyn; CRE Daily/ICSC grocery-anchored ≈5.75%; C&amp;W Inland Empire Industrial Q2 2025 ($1.18/SF/mo W, $0.99 E, −11.4% y/y); KEYZ CRE IE; InlandEmpireWarehouse Q1 2025 (caps 5.0–5.5% institutional); RAND CA vs TX MF costs; RealPage/BubbleGum lease-up velocity.</t>
  </si>
  <si>
    <t xml:space="preserve">SPREAD NORMS — RealCap Analytics / DealForge / PropertyMetrics: viable dev spread 150–250 bps; MF 150–200; logistics 175–250; office 250–350+.</t>
  </si>
  <si>
    <t xml:space="preserve">HOUSING↔CRE CO-MOVEMENT — Gyourko NBER w14708 (ρ ≈ 0.4–0.6); Urban Institute (GFC: MF values −40% vs. Case-Shiller −32%; rents only −4–4.5%); Moody's/REAL CPPI (−40%); Green Street CPPI (−38% GFC; apartments −19–28% 2022–24); KC Fed (MF −16.1% 2022–24 while housing held); Wolf Street (condos −12–31% in 31 markets 2024–26; new-home incentive cuts).</t>
  </si>
  <si>
    <t xml:space="preserve">LAND LEVERAGE — Davis &amp; Heathcote (land ~2× home-price volatility; drives most house-price variation); Bostic, Longhofer &amp; Redfearn (land leverage); Nichols, Oliner &amp; Mulhall Fed land indices; FHFA/AEI county &amp; zip land prices. Basis for land β 1.5–2.5.</t>
  </si>
  <si>
    <t xml:space="preserve">IDIOSYNCRATIC FLOOR — Giacoletti (idiosyncratic vol ~19% at 2-yr holds); CU Boulder 26M-sale zip study; Eiling et al. zip-code housing returns. Caps even matched-geo HE at ≈0.85–0.95.</t>
  </si>
  <si>
    <t xml:space="preserve">HEDGE THEORY &amp; PRECEDENT — minimum-variance hedge ratio literature (h* = ρσa/σi, HE = ρ²); futures-replication R² 9–20% for broad RE; CME Case-Shiller futures practice &amp; post-mortems (Jud &amp; Winkler; Las Vegas study — metro basis unusable); UK IPD/MSCI property derivatives (notional = F × E; 'hedging fallacy' tracking-error warnings); MacroShares failure; Parcl × Polymarket city-level housing binaries ($45M+ volume) — the digital form trades.</t>
  </si>
  <si>
    <t xml:space="preserve">CORPORATE HEDGE NORMS — MillTech Q1-2026 FX monitor (mean hedge ratio 57%, bands 25–75%); MDPI JRFM firm FX practice; IOFM treasury toolkit.</t>
  </si>
  <si>
    <t xml:space="preserve">PLATFORM MECHANICS — ZipToken index-aggregation-methodology.md (first-print ZHVI settlement, β_geo child→parent, capitalization floors $5k zip → $100k state, SpreadMarket, tie→YES); fees/page.tsx (1% buy fee); prediction-markets-research.md.</t>
  </si>
  <si>
    <t xml:space="preserve">ZipToken Developer Hedging Workbook — Glossary</t>
  </si>
  <si>
    <t xml:space="preserve">Development metrics, hedge-sizing terms, and ZipToken platform terms. Definitions follow A.CRE glossary conventions and the July 2026 research docs.</t>
  </si>
  <si>
    <t xml:space="preserve">DEVELOPMENT &amp; UNDERWRITING METRICS</t>
  </si>
  <si>
    <t xml:space="preserve">All-in project cost: land + hard costs + soft costs + financing costs + contingency (+ capitalized operating shortfall).</t>
  </si>
  <si>
    <t xml:space="preserve">Sitework, structure, envelope, MEP, finishes, GC fees — typically 55–70% of TDC.</t>
  </si>
  <si>
    <t xml:space="preserve">A&amp;E, legal, permits/impact fees, taxes &amp; insurance during construction, developer fee, marketing — typically 15–25% of TDC.</t>
  </si>
  <si>
    <t xml:space="preserve">Contingency</t>
  </si>
  <si>
    <t xml:space="preserve">Reserve for overruns: hard-cost 5–10%, soft-cost 10–20% of soft costs.</t>
  </si>
  <si>
    <t xml:space="preserve">Operating shortfall / lease-up reserve</t>
  </si>
  <si>
    <t xml:space="preserve">Negative NOI + debt service during lease-up until breakeven, capitalized into TDC (A.CRE convention).</t>
  </si>
  <si>
    <t xml:space="preserve">LTC / LTV</t>
  </si>
  <si>
    <t xml:space="preserve">Loan-to-cost (construction) / loan-to-value (perm). Construction LTC typically 50–70% depending on class; market-avg LTV ≈ 63%.</t>
  </si>
  <si>
    <t xml:space="preserve">Yield on cost (YoC)</t>
  </si>
  <si>
    <t xml:space="preserve">Stabilized NOI ÷ TDC — a.k.a. development yield / return on cost. Underwrite on UNTRENDED rents.</t>
  </si>
  <si>
    <t xml:space="preserve">(YoC − market cap rate) × 10,000, in bps — the value added for taking construction and lease-up risk. Viable deals: 150–250 bps (office 250–350+).</t>
  </si>
  <si>
    <t xml:space="preserve">NOI ÷ debt service. Lender minimum typically 1.20–1.25x stabilized.</t>
  </si>
  <si>
    <t xml:space="preserve">NOI ÷ loan amount. Lender minimum typically 7–10%.</t>
  </si>
  <si>
    <t xml:space="preserve">Breakeven occupancy</t>
  </si>
  <si>
    <t xml:space="preserve">(OpEx + debt service) ÷ gross potential income; typical 60–85%, lenders prefer ≤85%.</t>
  </si>
  <si>
    <t xml:space="preserve">Exit cap rate</t>
  </si>
  <si>
    <t xml:space="preserve">Cap rate applied to stabilized NOI at sale/refi; convention tests ±50–100 bps and underwrites exit ≥ going-in.</t>
  </si>
  <si>
    <t xml:space="preserve">Absorption</t>
  </si>
  <si>
    <t xml:space="preserve">Pace of lease-up or sell-out: MF 15–25 units/mo; homebuilders ~2–4 net sales/community/mo; office 12–36 months to stabilize.</t>
  </si>
  <si>
    <t xml:space="preserve">HEDGE-SIZING TERMS</t>
  </si>
  <si>
    <t xml:space="preserve">Exposure E</t>
  </si>
  <si>
    <t xml:space="preserve">Dollars of value at risk to the settlement index at the current stage (e.g., unsold inventory × price; costs marked to completed value).</t>
  </si>
  <si>
    <t xml:space="preserve">β_class (proxy hedge ratio)</t>
  </si>
  <si>
    <t xml:space="preserve">Slope of asset returns on settlement-index returns — sizes the hedge per dollar of exposure. Ships as LOW/BASE/HIGH per asset class.</t>
  </si>
  <si>
    <t xml:space="preserve">β_geo</t>
  </si>
  <si>
    <t xml:space="preserve">Platform-published child→parent beta between the project geography and the chosen market level (5-yr monthly window); 1.00 at own geography.</t>
  </si>
  <si>
    <t xml:space="preserve">h_total</t>
  </si>
  <si>
    <t xml:space="preserve">β_class × β_geo — the total proxy hedge ratio used in sizing.</t>
  </si>
  <si>
    <t xml:space="preserve">Hedge effectiveness (HE)</t>
  </si>
  <si>
    <t xml:space="preserve">ρ² — share of exposure variance a perfectly sized hedge removes. HE gates the program: below 0.15 the workbook flags a weak proxy hedge.</t>
  </si>
  <si>
    <t xml:space="preserve">Hedge fraction F / F_max</t>
  </si>
  <si>
    <t xml:space="preserve">Share of the (beta-adjusted) exposure hedged. Ramps by stage (25–40% pre-dev → 50–75% sell-out) and is hard-capped at the class F_max.</t>
  </si>
  <si>
    <t xml:space="preserve">Downside d</t>
  </si>
  <si>
    <t xml:space="preserve">The index decline in the underwriting downside case over the hedge tenor — converts a digital instrument into scenario-complete coverage.</t>
  </si>
  <si>
    <t xml:space="preserve">Attach point a</t>
  </si>
  <si>
    <t xml:space="preserve">The market decline the pro forma tolerates before returns breach hurdle; the first strike attaches just below it.</t>
  </si>
  <si>
    <t xml:space="preserve">Strike ladder</t>
  </si>
  <si>
    <t xml:space="preserve">Strip of digitals at descending strikes replicating a put-spread payoff; three strikes is the sweet spot (default allocation 40/35/25 [EST]).</t>
  </si>
  <si>
    <t xml:space="preserve">Contracts N</t>
  </si>
  <si>
    <t xml:space="preserve">N = C / (1 − 1.01p) — grossed up so payout minus premium nets exactly the coverage target C when the strike trips.</t>
  </si>
  <si>
    <t xml:space="preserve">p_eff</t>
  </si>
  <si>
    <t xml:space="preserve">Effective cost per contract = p × 1.01 (1% buy fee). Net payout per contract if triggered = 1 − 1.01p.</t>
  </si>
  <si>
    <t xml:space="preserve">Coverage C</t>
  </si>
  <si>
    <t xml:space="preserve">E × h × d × F — dollars the hedge must NET in the downside case.</t>
  </si>
  <si>
    <t xml:space="preserve">Net protected position</t>
  </si>
  <si>
    <t xml:space="preserve">Modeled project loss minus net hedge P&amp;L — the residual loss the developer deliberately retains.</t>
  </si>
  <si>
    <t xml:space="preserve">Basis risk / cross-hedge</t>
  </si>
  <si>
    <t xml:space="preserve">Risk the hedge instrument (residential ZHVI) and the exposure (e.g., office value) diverge. All non-single-family exposures are cross-hedges.</t>
  </si>
  <si>
    <t xml:space="preserve">Roll</t>
  </si>
  <si>
    <t xml:space="preserve">At each expiry/stage gate: recompute E, re-size N for the next tenor, re-strike vs. the new index level; unwind at bid when exposure disappears.</t>
  </si>
  <si>
    <t xml:space="preserve">Tracking error (TE)</t>
  </si>
  <si>
    <t xml:space="preserve">Published per node; drives the basis-cost term when hedging above the project's own geography.</t>
  </si>
  <si>
    <t xml:space="preserve">ZIPTOKEN PLATFORM TERMS</t>
  </si>
  <si>
    <t xml:space="preserve">Binary YES/NO contract</t>
  </si>
  <si>
    <t xml:space="preserve">Outcome token priced 0–100¢; the winning side pays $1.00 USDC at resolution. Threshold markets on ZHVI level / YoY / QoQ.</t>
  </si>
  <si>
    <t xml:space="preserve">YES/NO pricing</t>
  </si>
  <si>
    <t xml:space="preserve">Price ≈ market-implied probability. A down-strike YES at $0.14 costs 14¢ (+1% fee) and pays $1.00 if the decline threshold is met — net 85.86¢.</t>
  </si>
  <si>
    <t xml:space="preserve">First-print settlement</t>
  </si>
  <si>
    <t xml:space="preserve">Markets resolve on the FIRST-published Zillow ZHVI print (all-homes, mid-tier, smoothed, SA) for the market's geography and date; later Zillow revisions do not change resolution. Same-vintage YoY comparisons.</t>
  </si>
  <si>
    <t xml:space="preserve">Geographic granularity of a market: zip / neighborhood / city / county / state. Liquidity is an inverted pyramid — state/county deep, zip long-tail.</t>
  </si>
  <si>
    <t xml:space="preserve">Minimum book capitalization per level: $5k zip/neighborhood → $50k city/county → $100k state. Coverage below the floor may have no book.</t>
  </si>
  <si>
    <t xml:space="preserve">DMM</t>
  </si>
  <si>
    <t xml:space="preserve">Designated market maker — provides always-on depth at state/county levels; institutional-size hedges execute here.</t>
  </si>
  <si>
    <t xml:space="preserve">AMM backstop</t>
  </si>
  <si>
    <t xml:space="preserve">Automated liquidity backstop for long-tail zip/neighborhood books; expect slippage on size.</t>
  </si>
  <si>
    <t xml:space="preserve">Spread market</t>
  </si>
  <si>
    <t xml:space="preserve">Geo-vs-geo relative market (e.g., county vs. state) — hedges the basis leg directly when the fear is underperformance, not absolute decline.</t>
  </si>
  <si>
    <t xml:space="preserve">Rolled quarterly strip</t>
  </si>
  <si>
    <t xml:space="preserve">Multi-year exposure hedged with a sequence of quarterly binaries weighted to the unsold-balance curve, not one long-dated contract.</t>
  </si>
  <si>
    <t xml:space="preserve">Tie handling</t>
  </si>
  <si>
    <t xml:space="preserve">Index print exactly at the threshold resolves YES per the aggregation methodology.</t>
  </si>
  <si>
    <t xml:space="preserve">Trading fee</t>
  </si>
  <si>
    <t xml:space="preserve">1% on buys, deducted from order amount; resolution, redemption and withdrawal free. Workbook exposes a sell-fee input defaulting to 0.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</si>
</sst>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@"/>
    <numFmt numFmtId="166" formatCode="\$#,##0;&quot;($&quot;#,##0\);\-"/>
    <numFmt numFmtId="167" formatCode="0%"/>
    <numFmt numFmtId="168" formatCode="#,##0&quot; mo&quot;"/>
    <numFmt numFmtId="169" formatCode="0.0%"/>
    <numFmt numFmtId="170" formatCode="0.00"/>
    <numFmt numFmtId="171" formatCode="0.000"/>
    <numFmt numFmtId="172" formatCode="\-0.0%"/>
    <numFmt numFmtId="173" formatCode="\$0.00"/>
    <numFmt numFmtId="174" formatCode="\$0.0000"/>
    <numFmt numFmtId="175" formatCode="#,##0"/>
    <numFmt numFmtId="176" formatCode="0.00%"/>
    <numFmt numFmtId="177" formatCode="#,##0&quot; bps&quot;"/>
    <numFmt numFmtId="178" formatCode="0.00\x"/>
  </numFmts>
  <fonts count="2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22D3EE"/>
      <name val="Arial"/>
      <family val="0"/>
      <charset val="1"/>
    </font>
    <font>
      <i val="true"/>
      <sz val="10"/>
      <color rgb="FF595959"/>
      <name val="Arial"/>
      <family val="0"/>
      <charset val="1"/>
    </font>
    <font>
      <b val="true"/>
      <sz val="11"/>
      <color rgb="FF0F172A"/>
      <name val="Arial"/>
      <family val="0"/>
      <charset val="1"/>
    </font>
    <font>
      <sz val="9"/>
      <color rgb="FF000000"/>
      <name val="Arial"/>
      <family val="0"/>
      <charset val="1"/>
    </font>
    <font>
      <sz val="9"/>
      <color rgb="FF0000FF"/>
      <name val="Arial"/>
      <family val="0"/>
      <charset val="1"/>
    </font>
    <font>
      <sz val="9"/>
      <color rgb="FF008000"/>
      <name val="Arial"/>
      <family val="0"/>
      <charset val="1"/>
    </font>
    <font>
      <sz val="9"/>
      <color rgb="FFC00000"/>
      <name val="Arial"/>
      <family val="0"/>
      <charset val="1"/>
    </font>
    <font>
      <b val="true"/>
      <sz val="9"/>
      <color rgb="FF000000"/>
      <name val="Arial"/>
      <family val="0"/>
      <charset val="1"/>
    </font>
    <font>
      <b val="true"/>
      <sz val="15"/>
      <color rgb="FF22D3EE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0"/>
      <color rgb="FF0F172A"/>
      <name val="Arial"/>
      <family val="0"/>
      <charset val="1"/>
    </font>
    <font>
      <i val="true"/>
      <sz val="8"/>
      <color rgb="FF595959"/>
      <name val="Arial"/>
      <family val="0"/>
      <charset val="1"/>
    </font>
    <font>
      <b val="true"/>
      <sz val="8"/>
      <color rgb="FF000000"/>
      <name val="Arial"/>
      <family val="0"/>
      <charset val="1"/>
    </font>
    <font>
      <sz val="8"/>
      <color rgb="FF000000"/>
      <name val="Arial"/>
      <family val="0"/>
      <charset val="1"/>
    </font>
    <font>
      <i val="true"/>
      <sz val="8"/>
      <color rgb="FFC00000"/>
      <name val="Arial"/>
      <family val="0"/>
      <charset val="1"/>
    </font>
    <font>
      <i val="true"/>
      <sz val="8"/>
      <color rgb="FF000000"/>
      <name val="Arial"/>
      <family val="0"/>
      <charset val="1"/>
    </font>
    <font>
      <b val="true"/>
      <sz val="8"/>
      <color rgb="FFC00000"/>
      <name val="Arial"/>
      <family val="0"/>
      <charset val="1"/>
    </font>
    <font>
      <b val="true"/>
      <sz val="9"/>
      <color rgb="FF0000FF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0F172A"/>
        <bgColor rgb="FF000000"/>
      </patternFill>
    </fill>
    <fill>
      <patternFill patternType="solid">
        <fgColor rgb="FF22D3EE"/>
        <bgColor rgb="FF00CCFF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FFF"/>
      </patternFill>
    </fill>
    <fill>
      <patternFill patternType="solid">
        <fgColor rgb="FFE5F9FD"/>
        <bgColor rgb="FFCC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9C4CC"/>
      </left>
      <right style="thin">
        <color rgb="FFB9C4CC"/>
      </right>
      <top style="thin">
        <color rgb="FFB9C4CC"/>
      </top>
      <bottom style="thin">
        <color rgb="FFB9C4CC"/>
      </bottom>
      <diagonal/>
    </border>
    <border diagonalUp="false" diagonalDown="false">
      <left style="thin">
        <color rgb="FFB9C4CC"/>
      </left>
      <right/>
      <top style="thin">
        <color rgb="FFB9C4CC"/>
      </top>
      <bottom style="thin">
        <color rgb="FFB9C4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5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6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6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6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8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0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2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1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1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11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6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6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7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8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3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4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9C4CC"/>
      <rgbColor rgb="FF808080"/>
      <rgbColor rgb="FF9999FF"/>
      <rgbColor rgb="FF993366"/>
      <rgbColor rgb="FFFFF2CC"/>
      <rgbColor rgb="FFE5F9FD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22D3EE"/>
      <rgbColor rgb="FF99CC00"/>
      <rgbColor rgb="FFFFCC00"/>
      <rgbColor rgb="FFFF9900"/>
      <rgbColor rgb="FFFF6600"/>
      <rgbColor rgb="FF64748B"/>
      <rgbColor rgb="FF94A3B8"/>
      <rgbColor rgb="FF003366"/>
      <rgbColor rgb="FF339966"/>
      <rgbColor rgb="FF0F172A"/>
      <rgbColor rgb="FF333300"/>
      <rgbColor rgb="FF993300"/>
      <rgbColor rgb="FF993366"/>
      <rgbColor rgb="FF333399"/>
      <rgbColor rgb="FF59595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2D3EE"/>
    <pageSetUpPr fitToPage="false"/>
  </sheetPr>
  <dimension ref="A1:F4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6"/>
    <col collapsed="false" customWidth="true" hidden="false" outlineLevel="0" max="6" min="3" style="0" width="30"/>
  </cols>
  <sheetData>
    <row r="1" customFormat="false" ht="37.5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27.75" hidden="false" customHeight="true" outlineLevel="0" collapsed="false">
      <c r="A2" s="2" t="s">
        <v>1</v>
      </c>
      <c r="B2" s="2"/>
      <c r="C2" s="2"/>
      <c r="D2" s="2"/>
      <c r="E2" s="2"/>
      <c r="F2" s="2"/>
    </row>
    <row r="4" customFormat="false" ht="18" hidden="false" customHeight="true" outlineLevel="0" collapsed="false">
      <c r="A4" s="3" t="s">
        <v>2</v>
      </c>
      <c r="B4" s="3"/>
      <c r="C4" s="3"/>
      <c r="D4" s="3"/>
      <c r="E4" s="3"/>
      <c r="F4" s="3"/>
    </row>
    <row r="5" customFormat="false" ht="36" hidden="false" customHeight="true" outlineLevel="0" collapsed="false">
      <c r="A5" s="4" t="s">
        <v>3</v>
      </c>
      <c r="B5" s="4"/>
      <c r="C5" s="4"/>
      <c r="D5" s="4"/>
      <c r="E5" s="4"/>
      <c r="F5" s="4"/>
    </row>
    <row r="6" customFormat="false" ht="36" hidden="false" customHeight="true" outlineLevel="0" collapsed="false">
      <c r="A6" s="4" t="s">
        <v>4</v>
      </c>
      <c r="B6" s="4"/>
      <c r="C6" s="4"/>
      <c r="D6" s="4"/>
      <c r="E6" s="4"/>
      <c r="F6" s="4"/>
    </row>
    <row r="7" customFormat="false" ht="36" hidden="false" customHeight="true" outlineLevel="0" collapsed="false">
      <c r="A7" s="4" t="s">
        <v>5</v>
      </c>
      <c r="B7" s="4"/>
      <c r="C7" s="4"/>
      <c r="D7" s="4"/>
      <c r="E7" s="4"/>
      <c r="F7" s="4"/>
    </row>
    <row r="8" customFormat="false" ht="36" hidden="false" customHeight="true" outlineLevel="0" collapsed="false">
      <c r="A8" s="4" t="s">
        <v>6</v>
      </c>
      <c r="B8" s="4"/>
      <c r="C8" s="4"/>
      <c r="D8" s="4"/>
      <c r="E8" s="4"/>
      <c r="F8" s="4"/>
    </row>
    <row r="10" customFormat="false" ht="18" hidden="false" customHeight="true" outlineLevel="0" collapsed="false">
      <c r="A10" s="3" t="s">
        <v>7</v>
      </c>
      <c r="B10" s="3"/>
      <c r="C10" s="3"/>
      <c r="D10" s="3"/>
      <c r="E10" s="3"/>
      <c r="F10" s="3"/>
    </row>
    <row r="11" customFormat="false" ht="18" hidden="false" customHeight="true" outlineLevel="0" collapsed="false">
      <c r="A11" s="4" t="s">
        <v>8</v>
      </c>
      <c r="B11" s="4"/>
      <c r="C11" s="4"/>
      <c r="D11" s="4"/>
      <c r="E11" s="4"/>
      <c r="F11" s="4"/>
    </row>
    <row r="12" customFormat="false" ht="18" hidden="false" customHeight="true" outlineLevel="0" collapsed="false">
      <c r="A12" s="4" t="s">
        <v>9</v>
      </c>
      <c r="B12" s="4"/>
      <c r="C12" s="4"/>
      <c r="D12" s="4"/>
      <c r="E12" s="4"/>
      <c r="F12" s="4"/>
    </row>
    <row r="13" customFormat="false" ht="18" hidden="false" customHeight="true" outlineLevel="0" collapsed="false">
      <c r="A13" s="4" t="s">
        <v>10</v>
      </c>
      <c r="B13" s="4"/>
      <c r="C13" s="4"/>
      <c r="D13" s="4"/>
      <c r="E13" s="4"/>
      <c r="F13" s="4"/>
    </row>
    <row r="14" customFormat="false" ht="18" hidden="false" customHeight="true" outlineLevel="0" collapsed="false">
      <c r="A14" s="4" t="s">
        <v>11</v>
      </c>
      <c r="B14" s="4"/>
      <c r="C14" s="4"/>
      <c r="D14" s="4"/>
      <c r="E14" s="4"/>
      <c r="F14" s="4"/>
    </row>
    <row r="15" customFormat="false" ht="18" hidden="false" customHeight="true" outlineLevel="0" collapsed="false">
      <c r="A15" s="4" t="s">
        <v>12</v>
      </c>
      <c r="B15" s="4"/>
      <c r="C15" s="4"/>
      <c r="D15" s="4"/>
      <c r="E15" s="4"/>
      <c r="F15" s="4"/>
    </row>
    <row r="16" customFormat="false" ht="18" hidden="false" customHeight="true" outlineLevel="0" collapsed="false">
      <c r="A16" s="4" t="s">
        <v>13</v>
      </c>
      <c r="B16" s="4"/>
      <c r="C16" s="4"/>
      <c r="D16" s="4"/>
      <c r="E16" s="4"/>
      <c r="F16" s="4"/>
    </row>
    <row r="18" customFormat="false" ht="18" hidden="false" customHeight="true" outlineLevel="0" collapsed="false">
      <c r="A18" s="3" t="s">
        <v>14</v>
      </c>
      <c r="B18" s="3"/>
      <c r="C18" s="3"/>
      <c r="D18" s="3"/>
      <c r="E18" s="3"/>
      <c r="F18" s="3"/>
    </row>
    <row r="19" customFormat="false" ht="15" hidden="false" customHeight="false" outlineLevel="0" collapsed="false">
      <c r="B19" s="5" t="s">
        <v>15</v>
      </c>
      <c r="C19" s="6" t="s">
        <v>16</v>
      </c>
      <c r="D19" s="6"/>
      <c r="E19" s="6"/>
      <c r="F19" s="6"/>
    </row>
    <row r="20" customFormat="false" ht="15" hidden="false" customHeight="false" outlineLevel="0" collapsed="false">
      <c r="B20" s="7" t="s">
        <v>17</v>
      </c>
      <c r="C20" s="6" t="s">
        <v>18</v>
      </c>
      <c r="D20" s="6"/>
      <c r="E20" s="6"/>
      <c r="F20" s="6"/>
    </row>
    <row r="21" customFormat="false" ht="15" hidden="false" customHeight="false" outlineLevel="0" collapsed="false">
      <c r="B21" s="8" t="s">
        <v>19</v>
      </c>
      <c r="C21" s="6" t="s">
        <v>20</v>
      </c>
      <c r="D21" s="6"/>
      <c r="E21" s="6"/>
      <c r="F21" s="6"/>
    </row>
    <row r="22" customFormat="false" ht="15" hidden="false" customHeight="false" outlineLevel="0" collapsed="false">
      <c r="B22" s="9" t="s">
        <v>21</v>
      </c>
      <c r="C22" s="6" t="s">
        <v>22</v>
      </c>
      <c r="D22" s="6"/>
      <c r="E22" s="6"/>
      <c r="F22" s="6"/>
    </row>
    <row r="23" customFormat="false" ht="15" hidden="false" customHeight="false" outlineLevel="0" collapsed="false">
      <c r="B23" s="10" t="s">
        <v>23</v>
      </c>
      <c r="C23" s="6" t="s">
        <v>24</v>
      </c>
      <c r="D23" s="6"/>
      <c r="E23" s="6"/>
      <c r="F23" s="6"/>
    </row>
    <row r="25" customFormat="false" ht="18" hidden="false" customHeight="true" outlineLevel="0" collapsed="false">
      <c r="A25" s="3" t="s">
        <v>25</v>
      </c>
      <c r="B25" s="3"/>
      <c r="C25" s="3"/>
      <c r="D25" s="3"/>
      <c r="E25" s="3"/>
      <c r="F25" s="3"/>
    </row>
    <row r="26" customFormat="false" ht="33.75" hidden="false" customHeight="true" outlineLevel="0" collapsed="false">
      <c r="A26" s="11" t="s">
        <v>26</v>
      </c>
      <c r="B26" s="11"/>
      <c r="C26" s="11"/>
      <c r="D26" s="11"/>
      <c r="E26" s="11"/>
      <c r="F26" s="11"/>
    </row>
    <row r="27" customFormat="false" ht="33.75" hidden="false" customHeight="true" outlineLevel="0" collapsed="false">
      <c r="A27" s="12" t="s">
        <v>27</v>
      </c>
      <c r="B27" s="12"/>
      <c r="C27" s="12"/>
      <c r="D27" s="12"/>
      <c r="E27" s="12"/>
      <c r="F27" s="12"/>
    </row>
    <row r="28" customFormat="false" ht="33.75" hidden="false" customHeight="true" outlineLevel="0" collapsed="false">
      <c r="A28" s="12" t="s">
        <v>28</v>
      </c>
      <c r="B28" s="12"/>
      <c r="C28" s="12"/>
      <c r="D28" s="12"/>
      <c r="E28" s="12"/>
      <c r="F28" s="12"/>
    </row>
    <row r="29" customFormat="false" ht="33.75" hidden="false" customHeight="true" outlineLevel="0" collapsed="false">
      <c r="A29" s="12" t="s">
        <v>29</v>
      </c>
      <c r="B29" s="12"/>
      <c r="C29" s="12"/>
      <c r="D29" s="12"/>
      <c r="E29" s="12"/>
      <c r="F29" s="12"/>
    </row>
    <row r="31" customFormat="false" ht="18" hidden="false" customHeight="true" outlineLevel="0" collapsed="false">
      <c r="A31" s="3" t="s">
        <v>30</v>
      </c>
      <c r="B31" s="3"/>
      <c r="C31" s="3"/>
      <c r="D31" s="3"/>
      <c r="E31" s="3"/>
      <c r="F31" s="3"/>
    </row>
    <row r="32" customFormat="false" ht="15" hidden="false" customHeight="false" outlineLevel="0" collapsed="false">
      <c r="B32" s="13" t="s">
        <v>31</v>
      </c>
      <c r="C32" s="14" t="s">
        <v>32</v>
      </c>
      <c r="D32" s="14"/>
      <c r="E32" s="14"/>
      <c r="F32" s="14"/>
    </row>
    <row r="33" customFormat="false" ht="15.75" hidden="false" customHeight="true" outlineLevel="0" collapsed="false">
      <c r="B33" s="15" t="s">
        <v>33</v>
      </c>
      <c r="C33" s="16" t="s">
        <v>34</v>
      </c>
      <c r="D33" s="16"/>
      <c r="E33" s="16"/>
      <c r="F33" s="16"/>
    </row>
    <row r="34" customFormat="false" ht="15.75" hidden="false" customHeight="true" outlineLevel="0" collapsed="false">
      <c r="B34" s="15" t="s">
        <v>35</v>
      </c>
      <c r="C34" s="16" t="s">
        <v>36</v>
      </c>
      <c r="D34" s="16"/>
      <c r="E34" s="16"/>
      <c r="F34" s="16"/>
    </row>
    <row r="35" customFormat="false" ht="15.75" hidden="false" customHeight="true" outlineLevel="0" collapsed="false">
      <c r="B35" s="15" t="s">
        <v>37</v>
      </c>
      <c r="C35" s="16" t="s">
        <v>38</v>
      </c>
      <c r="D35" s="16"/>
      <c r="E35" s="16"/>
      <c r="F35" s="16"/>
    </row>
    <row r="36" customFormat="false" ht="15.75" hidden="false" customHeight="true" outlineLevel="0" collapsed="false">
      <c r="B36" s="15" t="s">
        <v>39</v>
      </c>
      <c r="C36" s="16" t="s">
        <v>40</v>
      </c>
      <c r="D36" s="16"/>
      <c r="E36" s="16"/>
      <c r="F36" s="16"/>
    </row>
    <row r="37" customFormat="false" ht="15.75" hidden="false" customHeight="true" outlineLevel="0" collapsed="false">
      <c r="B37" s="15" t="s">
        <v>41</v>
      </c>
      <c r="C37" s="16" t="s">
        <v>42</v>
      </c>
      <c r="D37" s="16"/>
      <c r="E37" s="16"/>
      <c r="F37" s="16"/>
    </row>
    <row r="38" customFormat="false" ht="15.75" hidden="false" customHeight="true" outlineLevel="0" collapsed="false">
      <c r="B38" s="15" t="s">
        <v>43</v>
      </c>
      <c r="C38" s="16" t="s">
        <v>44</v>
      </c>
      <c r="D38" s="16"/>
      <c r="E38" s="16"/>
      <c r="F38" s="16"/>
    </row>
    <row r="39" customFormat="false" ht="15.75" hidden="false" customHeight="true" outlineLevel="0" collapsed="false">
      <c r="B39" s="15" t="s">
        <v>45</v>
      </c>
      <c r="C39" s="16" t="s">
        <v>46</v>
      </c>
      <c r="D39" s="16"/>
      <c r="E39" s="16"/>
      <c r="F39" s="16"/>
    </row>
    <row r="40" customFormat="false" ht="15.75" hidden="false" customHeight="true" outlineLevel="0" collapsed="false">
      <c r="B40" s="15" t="s">
        <v>47</v>
      </c>
      <c r="C40" s="16" t="s">
        <v>48</v>
      </c>
      <c r="D40" s="16"/>
      <c r="E40" s="16"/>
      <c r="F40" s="16"/>
    </row>
    <row r="41" customFormat="false" ht="15.75" hidden="false" customHeight="true" outlineLevel="0" collapsed="false">
      <c r="B41" s="15" t="s">
        <v>49</v>
      </c>
      <c r="C41" s="16" t="s">
        <v>50</v>
      </c>
      <c r="D41" s="16"/>
      <c r="E41" s="16"/>
      <c r="F41" s="16"/>
    </row>
  </sheetData>
  <mergeCells count="36">
    <mergeCell ref="A1:F1"/>
    <mergeCell ref="A2:F2"/>
    <mergeCell ref="A4:F4"/>
    <mergeCell ref="A5:F5"/>
    <mergeCell ref="A6:F6"/>
    <mergeCell ref="A7:F7"/>
    <mergeCell ref="A8:F8"/>
    <mergeCell ref="A10:F10"/>
    <mergeCell ref="A11:F11"/>
    <mergeCell ref="A12:F12"/>
    <mergeCell ref="A13:F13"/>
    <mergeCell ref="A14:F14"/>
    <mergeCell ref="A15:F15"/>
    <mergeCell ref="A16:F16"/>
    <mergeCell ref="A18:F18"/>
    <mergeCell ref="C19:F19"/>
    <mergeCell ref="C20:F20"/>
    <mergeCell ref="C21:F21"/>
    <mergeCell ref="C22:F22"/>
    <mergeCell ref="C23:F23"/>
    <mergeCell ref="A25:F25"/>
    <mergeCell ref="A26:F26"/>
    <mergeCell ref="A27:F27"/>
    <mergeCell ref="A28:F28"/>
    <mergeCell ref="A29:F29"/>
    <mergeCell ref="A31:F31"/>
    <mergeCell ref="C32:F32"/>
    <mergeCell ref="C33:F33"/>
    <mergeCell ref="C34:F34"/>
    <mergeCell ref="C35:F35"/>
    <mergeCell ref="C36:F36"/>
    <mergeCell ref="C37:F37"/>
    <mergeCell ref="C38:F38"/>
    <mergeCell ref="C39:F39"/>
    <mergeCell ref="C40:F40"/>
    <mergeCell ref="C41:F4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F172A"/>
    <pageSetUpPr fitToPage="false"/>
  </sheetPr>
  <dimension ref="A1:I10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8"/>
    <col collapsed="false" customWidth="true" hidden="false" outlineLevel="0" max="4" min="3" style="0" width="14"/>
    <col collapsed="false" customWidth="true" hidden="false" outlineLevel="0" max="7" min="5" style="0" width="16"/>
    <col collapsed="false" customWidth="true" hidden="false" outlineLevel="0" max="8" min="8" style="0" width="14"/>
    <col collapsed="false" customWidth="true" hidden="false" outlineLevel="0" max="9" min="9" style="0" width="38"/>
  </cols>
  <sheetData>
    <row r="1" customFormat="false" ht="30" hidden="false" customHeight="true" outlineLevel="0" collapsed="false">
      <c r="A1" s="17" t="s">
        <v>51</v>
      </c>
      <c r="B1" s="17"/>
      <c r="C1" s="17"/>
      <c r="D1" s="17"/>
      <c r="E1" s="17"/>
      <c r="F1" s="17"/>
      <c r="G1" s="17"/>
      <c r="H1" s="17"/>
      <c r="I1" s="17"/>
    </row>
    <row r="2" customFormat="false" ht="25.5" hidden="false" customHeight="true" outlineLevel="0" collapsed="false">
      <c r="A2" s="18" t="s">
        <v>52</v>
      </c>
      <c r="B2" s="18"/>
      <c r="C2" s="18"/>
      <c r="D2" s="18"/>
      <c r="E2" s="18"/>
      <c r="F2" s="18"/>
      <c r="G2" s="18"/>
      <c r="H2" s="18"/>
      <c r="I2" s="18"/>
    </row>
    <row r="3" customFormat="false" ht="12" hidden="false" customHeight="true" outlineLevel="0" collapsed="false">
      <c r="A3" s="4" t="s">
        <v>53</v>
      </c>
      <c r="B3" s="4"/>
      <c r="C3" s="4"/>
      <c r="D3" s="4"/>
      <c r="E3" s="4"/>
      <c r="F3" s="4"/>
      <c r="G3" s="4"/>
      <c r="H3" s="4"/>
      <c r="I3" s="4"/>
    </row>
    <row r="5" customFormat="false" ht="18" hidden="false" customHeight="true" outlineLevel="0" collapsed="false">
      <c r="A5" s="3" t="s">
        <v>54</v>
      </c>
      <c r="B5" s="3"/>
      <c r="C5" s="3"/>
      <c r="D5" s="3"/>
      <c r="E5" s="3"/>
      <c r="F5" s="3"/>
      <c r="G5" s="3"/>
      <c r="H5" s="3"/>
      <c r="I5" s="3"/>
    </row>
    <row r="6" customFormat="false" ht="15" hidden="false" customHeight="false" outlineLevel="0" collapsed="false">
      <c r="A6" s="19" t="s">
        <v>55</v>
      </c>
      <c r="B6" s="20" t="s">
        <v>56</v>
      </c>
    </row>
    <row r="7" customFormat="false" ht="15" hidden="false" customHeight="false" outlineLevel="0" collapsed="false">
      <c r="A7" s="19" t="s">
        <v>57</v>
      </c>
      <c r="B7" s="20" t="s">
        <v>58</v>
      </c>
    </row>
    <row r="8" customFormat="false" ht="15" hidden="false" customHeight="false" outlineLevel="0" collapsed="false">
      <c r="A8" s="19" t="s">
        <v>59</v>
      </c>
      <c r="B8" s="20" t="s">
        <v>60</v>
      </c>
    </row>
    <row r="9" customFormat="false" ht="15" hidden="false" customHeight="false" outlineLevel="0" collapsed="false">
      <c r="A9" s="19" t="s">
        <v>61</v>
      </c>
      <c r="B9" s="20" t="s">
        <v>62</v>
      </c>
    </row>
    <row r="10" customFormat="false" ht="15" hidden="false" customHeight="false" outlineLevel="0" collapsed="false">
      <c r="A10" s="21" t="s">
        <v>63</v>
      </c>
      <c r="B10" s="21"/>
      <c r="C10" s="21"/>
      <c r="D10" s="21"/>
      <c r="E10" s="21"/>
      <c r="F10" s="21"/>
      <c r="G10" s="21"/>
      <c r="H10" s="21"/>
      <c r="I10" s="21"/>
    </row>
    <row r="11" customFormat="false" ht="15" hidden="false" customHeight="true" outlineLevel="0" collapsed="false">
      <c r="A11" s="19" t="s">
        <v>64</v>
      </c>
      <c r="B11" s="22" t="n">
        <v>15000000</v>
      </c>
      <c r="C11" s="23" t="s">
        <v>65</v>
      </c>
      <c r="D11" s="23"/>
      <c r="E11" s="23"/>
      <c r="F11" s="23"/>
      <c r="G11" s="23"/>
      <c r="H11" s="23"/>
      <c r="I11" s="23"/>
    </row>
    <row r="12" customFormat="false" ht="15" hidden="false" customHeight="true" outlineLevel="0" collapsed="false">
      <c r="A12" s="19" t="s">
        <v>66</v>
      </c>
      <c r="B12" s="22" t="n">
        <v>66500000</v>
      </c>
      <c r="C12" s="23" t="s">
        <v>67</v>
      </c>
      <c r="D12" s="23"/>
      <c r="E12" s="23"/>
      <c r="F12" s="23"/>
      <c r="G12" s="23"/>
      <c r="H12" s="23"/>
      <c r="I12" s="23"/>
    </row>
    <row r="13" customFormat="false" ht="15" hidden="false" customHeight="false" outlineLevel="0" collapsed="false">
      <c r="A13" s="19" t="s">
        <v>68</v>
      </c>
      <c r="B13" s="22" t="n">
        <v>16000000</v>
      </c>
    </row>
    <row r="14" customFormat="false" ht="15" hidden="false" customHeight="false" outlineLevel="0" collapsed="false">
      <c r="A14" s="19" t="s">
        <v>69</v>
      </c>
      <c r="B14" s="22" t="n">
        <v>7000000</v>
      </c>
    </row>
    <row r="15" customFormat="false" ht="15" hidden="false" customHeight="true" outlineLevel="0" collapsed="false">
      <c r="A15" s="19" t="s">
        <v>70</v>
      </c>
      <c r="B15" s="22" t="n">
        <v>5500000</v>
      </c>
      <c r="C15" s="23" t="s">
        <v>71</v>
      </c>
      <c r="D15" s="23"/>
      <c r="E15" s="23"/>
      <c r="F15" s="23"/>
      <c r="G15" s="23"/>
      <c r="H15" s="23"/>
      <c r="I15" s="23"/>
    </row>
    <row r="16" customFormat="false" ht="15" hidden="false" customHeight="true" outlineLevel="0" collapsed="false">
      <c r="A16" s="24" t="s">
        <v>72</v>
      </c>
      <c r="B16" s="25" t="n">
        <f aca="false">SUM(B11:B15)</f>
        <v>110000000</v>
      </c>
      <c r="C16" s="23" t="s">
        <v>73</v>
      </c>
      <c r="D16" s="23"/>
      <c r="E16" s="23"/>
      <c r="F16" s="23"/>
      <c r="G16" s="23"/>
      <c r="H16" s="23"/>
      <c r="I16" s="23"/>
    </row>
    <row r="17" customFormat="false" ht="15" hidden="false" customHeight="false" outlineLevel="0" collapsed="false">
      <c r="A17" s="21" t="s">
        <v>74</v>
      </c>
      <c r="B17" s="21"/>
      <c r="C17" s="21"/>
      <c r="D17" s="21"/>
      <c r="E17" s="21"/>
      <c r="F17" s="21"/>
      <c r="G17" s="21"/>
      <c r="H17" s="21"/>
      <c r="I17" s="21"/>
    </row>
    <row r="18" customFormat="false" ht="15" hidden="false" customHeight="true" outlineLevel="0" collapsed="false">
      <c r="A18" s="19" t="s">
        <v>75</v>
      </c>
      <c r="B18" s="26" t="n">
        <v>0.6</v>
      </c>
      <c r="C18" s="23" t="s">
        <v>76</v>
      </c>
      <c r="D18" s="23"/>
      <c r="E18" s="23"/>
      <c r="F18" s="23"/>
      <c r="G18" s="23"/>
      <c r="H18" s="23"/>
      <c r="I18" s="23"/>
    </row>
    <row r="19" customFormat="false" ht="15" hidden="false" customHeight="false" outlineLevel="0" collapsed="false">
      <c r="A19" s="19" t="s">
        <v>77</v>
      </c>
      <c r="B19" s="27" t="n">
        <f aca="false">B16*B18</f>
        <v>66000000</v>
      </c>
    </row>
    <row r="20" customFormat="false" ht="15" hidden="false" customHeight="true" outlineLevel="0" collapsed="false">
      <c r="A20" s="19" t="s">
        <v>78</v>
      </c>
      <c r="B20" s="27" t="n">
        <f aca="false">B16-B19</f>
        <v>44000000</v>
      </c>
      <c r="C20" s="23" t="s">
        <v>79</v>
      </c>
      <c r="D20" s="23"/>
      <c r="E20" s="23"/>
      <c r="F20" s="23"/>
      <c r="G20" s="23"/>
      <c r="H20" s="23"/>
      <c r="I20" s="23"/>
    </row>
    <row r="21" customFormat="false" ht="15" hidden="false" customHeight="false" outlineLevel="0" collapsed="false">
      <c r="A21" s="21" t="s">
        <v>80</v>
      </c>
      <c r="B21" s="21"/>
      <c r="C21" s="21"/>
      <c r="D21" s="21"/>
      <c r="E21" s="21"/>
      <c r="F21" s="21"/>
      <c r="G21" s="21"/>
      <c r="H21" s="21"/>
      <c r="I21" s="21"/>
    </row>
    <row r="22" customFormat="false" ht="15" hidden="false" customHeight="false" outlineLevel="0" collapsed="false">
      <c r="A22" s="19" t="s">
        <v>81</v>
      </c>
      <c r="B22" s="28" t="n">
        <v>18</v>
      </c>
    </row>
    <row r="23" customFormat="false" ht="15" hidden="false" customHeight="false" outlineLevel="0" collapsed="false">
      <c r="A23" s="19" t="s">
        <v>82</v>
      </c>
      <c r="B23" s="28" t="n">
        <v>24</v>
      </c>
    </row>
    <row r="24" customFormat="false" ht="15" hidden="false" customHeight="false" outlineLevel="0" collapsed="false">
      <c r="A24" s="19" t="s">
        <v>83</v>
      </c>
      <c r="B24" s="28" t="n">
        <v>12</v>
      </c>
    </row>
    <row r="25" customFormat="false" ht="15" hidden="false" customHeight="false" outlineLevel="0" collapsed="false">
      <c r="A25" s="19" t="s">
        <v>84</v>
      </c>
      <c r="B25" s="28" t="n">
        <v>6</v>
      </c>
    </row>
    <row r="26" customFormat="false" ht="15" hidden="false" customHeight="false" outlineLevel="0" collapsed="false">
      <c r="A26" s="19" t="s">
        <v>85</v>
      </c>
      <c r="B26" s="29" t="n">
        <f aca="false">SUM(B22:B25)</f>
        <v>60</v>
      </c>
    </row>
    <row r="27" customFormat="false" ht="15" hidden="false" customHeight="true" outlineLevel="0" collapsed="false">
      <c r="A27" s="19" t="s">
        <v>86</v>
      </c>
      <c r="B27" s="30" t="s">
        <v>82</v>
      </c>
      <c r="C27" s="23" t="s">
        <v>87</v>
      </c>
      <c r="D27" s="23"/>
      <c r="E27" s="23"/>
      <c r="F27" s="23"/>
      <c r="G27" s="23"/>
      <c r="H27" s="23"/>
      <c r="I27" s="23"/>
    </row>
    <row r="28" customFormat="false" ht="15" hidden="false" customHeight="false" outlineLevel="0" collapsed="false">
      <c r="A28" s="21" t="s">
        <v>88</v>
      </c>
      <c r="B28" s="21"/>
      <c r="C28" s="21"/>
      <c r="D28" s="21"/>
      <c r="E28" s="21"/>
      <c r="F28" s="21"/>
      <c r="G28" s="21"/>
      <c r="H28" s="21"/>
      <c r="I28" s="21"/>
    </row>
    <row r="29" customFormat="false" ht="15" hidden="false" customHeight="true" outlineLevel="0" collapsed="false">
      <c r="A29" s="19" t="s">
        <v>89</v>
      </c>
      <c r="B29" s="31" t="n">
        <v>0.06</v>
      </c>
      <c r="C29" s="23" t="s">
        <v>90</v>
      </c>
      <c r="D29" s="23"/>
      <c r="E29" s="23"/>
      <c r="F29" s="23"/>
      <c r="G29" s="23"/>
      <c r="H29" s="23"/>
      <c r="I29" s="23"/>
    </row>
    <row r="30" customFormat="false" ht="15" hidden="false" customHeight="true" outlineLevel="0" collapsed="false">
      <c r="A30" s="19" t="s">
        <v>91</v>
      </c>
      <c r="B30" s="32" t="n">
        <v>0</v>
      </c>
      <c r="C30" s="23" t="s">
        <v>92</v>
      </c>
      <c r="D30" s="23"/>
      <c r="E30" s="23"/>
      <c r="F30" s="23"/>
      <c r="G30" s="23"/>
      <c r="H30" s="23"/>
      <c r="I30" s="23"/>
    </row>
    <row r="31" customFormat="false" ht="15" hidden="false" customHeight="false" outlineLevel="0" collapsed="false">
      <c r="A31" s="21" t="s">
        <v>93</v>
      </c>
      <c r="B31" s="21"/>
      <c r="C31" s="21"/>
      <c r="D31" s="21"/>
      <c r="E31" s="21"/>
      <c r="F31" s="21"/>
      <c r="G31" s="21"/>
      <c r="H31" s="21"/>
      <c r="I31" s="21"/>
    </row>
    <row r="32" customFormat="false" ht="15" hidden="false" customHeight="true" outlineLevel="0" collapsed="false">
      <c r="A32" s="19" t="s">
        <v>94</v>
      </c>
      <c r="B32" s="20" t="s">
        <v>59</v>
      </c>
      <c r="C32" s="23" t="s">
        <v>95</v>
      </c>
      <c r="D32" s="23"/>
      <c r="E32" s="23"/>
      <c r="F32" s="23"/>
      <c r="G32" s="23"/>
      <c r="H32" s="23"/>
      <c r="I32" s="23"/>
    </row>
    <row r="33" customFormat="false" ht="15" hidden="false" customHeight="true" outlineLevel="0" collapsed="false">
      <c r="A33" s="19" t="s">
        <v>96</v>
      </c>
      <c r="B33" s="33" t="n">
        <v>1</v>
      </c>
      <c r="C33" s="23" t="s">
        <v>97</v>
      </c>
      <c r="D33" s="23"/>
      <c r="E33" s="23"/>
      <c r="F33" s="23"/>
      <c r="G33" s="23"/>
      <c r="H33" s="23"/>
      <c r="I33" s="23"/>
    </row>
    <row r="34" customFormat="false" ht="15" hidden="false" customHeight="true" outlineLevel="0" collapsed="false">
      <c r="A34" s="19" t="s">
        <v>98</v>
      </c>
      <c r="B34" s="20" t="s">
        <v>99</v>
      </c>
      <c r="C34" s="23" t="s">
        <v>100</v>
      </c>
      <c r="D34" s="23"/>
      <c r="E34" s="23"/>
      <c r="F34" s="23"/>
      <c r="G34" s="23"/>
      <c r="H34" s="23"/>
      <c r="I34" s="23"/>
    </row>
    <row r="35" customFormat="false" ht="15" hidden="false" customHeight="true" outlineLevel="0" collapsed="false">
      <c r="A35" s="19" t="s">
        <v>101</v>
      </c>
      <c r="B35" s="20" t="s">
        <v>102</v>
      </c>
      <c r="C35" s="23" t="s">
        <v>103</v>
      </c>
      <c r="D35" s="23"/>
      <c r="E35" s="23"/>
      <c r="F35" s="23"/>
      <c r="G35" s="23"/>
      <c r="H35" s="23"/>
      <c r="I35" s="23"/>
    </row>
    <row r="36" customFormat="false" ht="15" hidden="false" customHeight="true" outlineLevel="0" collapsed="false">
      <c r="A36" s="19" t="s">
        <v>104</v>
      </c>
      <c r="B36" s="32" t="n">
        <v>0.01</v>
      </c>
      <c r="C36" s="23" t="s">
        <v>105</v>
      </c>
      <c r="D36" s="23"/>
      <c r="E36" s="23"/>
      <c r="F36" s="23"/>
      <c r="G36" s="23"/>
      <c r="H36" s="23"/>
      <c r="I36" s="23"/>
    </row>
    <row r="38" customFormat="false" ht="18" hidden="false" customHeight="true" outlineLevel="0" collapsed="false">
      <c r="A38" s="3" t="s">
        <v>106</v>
      </c>
      <c r="B38" s="3"/>
      <c r="C38" s="3"/>
      <c r="D38" s="3"/>
      <c r="E38" s="3"/>
      <c r="F38" s="3"/>
      <c r="G38" s="3"/>
      <c r="H38" s="3"/>
      <c r="I38" s="3"/>
    </row>
    <row r="39" customFormat="false" ht="24" hidden="false" customHeight="true" outlineLevel="0" collapsed="false">
      <c r="A39" s="34" t="s">
        <v>107</v>
      </c>
      <c r="B39" s="34" t="s">
        <v>108</v>
      </c>
      <c r="C39" s="34" t="s">
        <v>109</v>
      </c>
      <c r="D39" s="34" t="s">
        <v>110</v>
      </c>
      <c r="E39" s="35" t="s">
        <v>111</v>
      </c>
      <c r="F39" s="35"/>
      <c r="G39" s="35"/>
      <c r="H39" s="35" t="s">
        <v>112</v>
      </c>
      <c r="I39" s="35"/>
    </row>
    <row r="40" customFormat="false" ht="24" hidden="false" customHeight="true" outlineLevel="0" collapsed="false">
      <c r="A40" s="36" t="s">
        <v>81</v>
      </c>
      <c r="B40" s="37" t="n">
        <f aca="false">B22</f>
        <v>18</v>
      </c>
      <c r="C40" s="38" t="n">
        <v>0.17</v>
      </c>
      <c r="D40" s="39" t="n">
        <f aca="false">C40*$B$16</f>
        <v>18700000</v>
      </c>
      <c r="E40" s="40" t="s">
        <v>113</v>
      </c>
      <c r="F40" s="40"/>
      <c r="G40" s="40"/>
      <c r="H40" s="40" t="s">
        <v>114</v>
      </c>
      <c r="I40" s="40"/>
    </row>
    <row r="41" customFormat="false" ht="24" hidden="false" customHeight="true" outlineLevel="0" collapsed="false">
      <c r="A41" s="36" t="s">
        <v>82</v>
      </c>
      <c r="B41" s="37" t="n">
        <f aca="false">B23</f>
        <v>24</v>
      </c>
      <c r="C41" s="38" t="n">
        <v>0.95</v>
      </c>
      <c r="D41" s="39" t="n">
        <f aca="false">C41*$B$16</f>
        <v>104500000</v>
      </c>
      <c r="E41" s="40" t="s">
        <v>115</v>
      </c>
      <c r="F41" s="40"/>
      <c r="G41" s="40"/>
      <c r="H41" s="40" t="s">
        <v>116</v>
      </c>
      <c r="I41" s="40"/>
    </row>
    <row r="42" customFormat="false" ht="24" hidden="false" customHeight="true" outlineLevel="0" collapsed="false">
      <c r="A42" s="36" t="s">
        <v>83</v>
      </c>
      <c r="B42" s="37" t="n">
        <f aca="false">B24</f>
        <v>12</v>
      </c>
      <c r="C42" s="38" t="n">
        <v>1</v>
      </c>
      <c r="D42" s="39" t="n">
        <f aca="false">C42*$B$16</f>
        <v>110000000</v>
      </c>
      <c r="E42" s="40" t="s">
        <v>117</v>
      </c>
      <c r="F42" s="40"/>
      <c r="G42" s="40"/>
      <c r="H42" s="40" t="s">
        <v>118</v>
      </c>
      <c r="I42" s="40"/>
    </row>
    <row r="43" customFormat="false" ht="24" hidden="false" customHeight="true" outlineLevel="0" collapsed="false">
      <c r="A43" s="36" t="s">
        <v>84</v>
      </c>
      <c r="B43" s="37" t="n">
        <f aca="false">B25</f>
        <v>6</v>
      </c>
      <c r="C43" s="38" t="n">
        <v>1</v>
      </c>
      <c r="D43" s="39" t="n">
        <f aca="false">C43*$B$16</f>
        <v>110000000</v>
      </c>
      <c r="E43" s="40" t="s">
        <v>119</v>
      </c>
      <c r="F43" s="40"/>
      <c r="G43" s="40"/>
      <c r="H43" s="40" t="s">
        <v>120</v>
      </c>
      <c r="I43" s="40"/>
    </row>
    <row r="44" customFormat="false" ht="21.75" hidden="false" customHeight="true" outlineLevel="0" collapsed="false">
      <c r="A44" s="4" t="s">
        <v>121</v>
      </c>
      <c r="B44" s="4"/>
      <c r="C44" s="4"/>
      <c r="D44" s="4"/>
      <c r="E44" s="4"/>
      <c r="F44" s="4"/>
      <c r="G44" s="4"/>
      <c r="H44" s="4"/>
      <c r="I44" s="4"/>
    </row>
    <row r="46" customFormat="false" ht="18" hidden="false" customHeight="true" outlineLevel="0" collapsed="false">
      <c r="A46" s="3" t="s">
        <v>122</v>
      </c>
      <c r="B46" s="3"/>
      <c r="C46" s="3"/>
      <c r="D46" s="3"/>
      <c r="E46" s="3"/>
      <c r="F46" s="3"/>
      <c r="G46" s="3"/>
      <c r="H46" s="3"/>
      <c r="I46" s="3"/>
    </row>
    <row r="47" customFormat="false" ht="15" hidden="false" customHeight="true" outlineLevel="0" collapsed="false">
      <c r="A47" s="19" t="s">
        <v>123</v>
      </c>
      <c r="B47" s="41" t="n">
        <f aca="false">INDEX(Methodology!$B$10:$D$10,MIN(3,IF($B$35="LOW",1,IF($B$35="BASE",2,3))+IF($B$34="Credit bust",1,0)))</f>
        <v>0.5</v>
      </c>
      <c r="C47" s="23" t="s">
        <v>124</v>
      </c>
      <c r="D47" s="23"/>
      <c r="E47" s="23"/>
      <c r="F47" s="23"/>
      <c r="G47" s="23"/>
      <c r="H47" s="23"/>
      <c r="I47" s="23"/>
    </row>
    <row r="48" customFormat="false" ht="15" hidden="false" customHeight="true" outlineLevel="0" collapsed="false">
      <c r="A48" s="19" t="s">
        <v>125</v>
      </c>
      <c r="B48" s="42" t="n">
        <f aca="false">Methodology!$H$10</f>
        <v>0.25</v>
      </c>
      <c r="C48" s="23" t="s">
        <v>126</v>
      </c>
      <c r="D48" s="23"/>
      <c r="E48" s="23"/>
      <c r="F48" s="23"/>
      <c r="G48" s="23"/>
      <c r="H48" s="23"/>
      <c r="I48" s="23"/>
    </row>
    <row r="49" customFormat="false" ht="15" hidden="false" customHeight="true" outlineLevel="0" collapsed="false">
      <c r="A49" s="19" t="s">
        <v>127</v>
      </c>
      <c r="B49" s="43" t="n">
        <f aca="false">Methodology!$I$10</f>
        <v>0.35</v>
      </c>
      <c r="C49" s="23" t="s">
        <v>128</v>
      </c>
      <c r="D49" s="23"/>
      <c r="E49" s="23"/>
      <c r="F49" s="23"/>
      <c r="G49" s="23"/>
      <c r="H49" s="23"/>
      <c r="I49" s="23"/>
    </row>
    <row r="50" customFormat="false" ht="15" hidden="false" customHeight="true" outlineLevel="0" collapsed="false">
      <c r="A50" s="19" t="s">
        <v>129</v>
      </c>
      <c r="B50" s="44" t="n">
        <f aca="false">INDEX(Methodology!$E$20:$E$23,MATCH($B$27,Methodology!$A$20:$A$23,0))</f>
        <v>0.5</v>
      </c>
      <c r="C50" s="23" t="s">
        <v>130</v>
      </c>
      <c r="D50" s="23"/>
      <c r="E50" s="23"/>
      <c r="F50" s="23"/>
      <c r="G50" s="23"/>
      <c r="H50" s="23"/>
      <c r="I50" s="23"/>
    </row>
    <row r="51" customFormat="false" ht="15" hidden="false" customHeight="true" outlineLevel="0" collapsed="false">
      <c r="A51" s="19" t="s">
        <v>131</v>
      </c>
      <c r="B51" s="26"/>
      <c r="C51" s="23" t="s">
        <v>132</v>
      </c>
      <c r="D51" s="23"/>
      <c r="E51" s="23"/>
      <c r="F51" s="23"/>
      <c r="G51" s="23"/>
      <c r="H51" s="23"/>
      <c r="I51" s="23"/>
    </row>
    <row r="52" customFormat="false" ht="15" hidden="false" customHeight="false" outlineLevel="0" collapsed="false">
      <c r="A52" s="24" t="s">
        <v>133</v>
      </c>
      <c r="B52" s="45" t="n">
        <f aca="false">MIN(IF($B$51="",$B$50,$B$51),$B$49)</f>
        <v>0.35</v>
      </c>
      <c r="C52" s="46" t="str">
        <f aca="false">IF(AND($B$51&lt;&gt;"",$B$51&gt;$B$49),"Note: override silently capped at F_max = "&amp;TEXT($B$49,"0%"),"")</f>
        <v/>
      </c>
      <c r="D52" s="46"/>
      <c r="E52" s="46"/>
      <c r="F52" s="46"/>
      <c r="G52" s="46"/>
      <c r="H52" s="46"/>
      <c r="I52" s="46"/>
    </row>
    <row r="53" customFormat="false" ht="15" hidden="false" customHeight="true" outlineLevel="0" collapsed="false">
      <c r="A53" s="19" t="s">
        <v>134</v>
      </c>
      <c r="B53" s="47" t="n">
        <v>110000000</v>
      </c>
      <c r="C53" s="23" t="s">
        <v>135</v>
      </c>
      <c r="D53" s="23"/>
      <c r="E53" s="23"/>
      <c r="F53" s="23"/>
      <c r="G53" s="23"/>
      <c r="H53" s="23"/>
      <c r="I53" s="23"/>
    </row>
    <row r="54" customFormat="false" ht="15" hidden="false" customHeight="true" outlineLevel="0" collapsed="false">
      <c r="A54" s="19" t="s">
        <v>136</v>
      </c>
      <c r="B54" s="27" t="n">
        <f aca="false">INDEX($D$40:$D$43,MATCH($B$27,$A$40:$A$43,0))</f>
        <v>104500000</v>
      </c>
      <c r="C54" s="23" t="s">
        <v>137</v>
      </c>
      <c r="D54" s="23"/>
      <c r="E54" s="23"/>
      <c r="F54" s="23"/>
      <c r="G54" s="23"/>
      <c r="H54" s="23"/>
      <c r="I54" s="23"/>
    </row>
    <row r="55" customFormat="false" ht="15" hidden="false" customHeight="false" outlineLevel="0" collapsed="false">
      <c r="A55" s="19" t="s">
        <v>138</v>
      </c>
      <c r="B55" s="48" t="n">
        <f aca="false">B47*B33</f>
        <v>0.5</v>
      </c>
    </row>
    <row r="56" customFormat="false" ht="15" hidden="false" customHeight="true" outlineLevel="0" collapsed="false">
      <c r="A56" s="24" t="s">
        <v>139</v>
      </c>
      <c r="B56" s="25" t="n">
        <f aca="false">B53*B55*B29*B52</f>
        <v>1155000</v>
      </c>
      <c r="C56" s="23" t="s">
        <v>140</v>
      </c>
      <c r="D56" s="23"/>
      <c r="E56" s="23"/>
      <c r="F56" s="23"/>
      <c r="G56" s="23"/>
      <c r="H56" s="23"/>
      <c r="I56" s="23"/>
    </row>
    <row r="57" customFormat="false" ht="15" hidden="false" customHeight="true" outlineLevel="0" collapsed="false">
      <c r="A57" s="19" t="s">
        <v>141</v>
      </c>
      <c r="B57" s="49" t="n">
        <f aca="false">B48*B52</f>
        <v>0.0875</v>
      </c>
      <c r="C57" s="23" t="s">
        <v>142</v>
      </c>
      <c r="D57" s="23"/>
      <c r="E57" s="23"/>
      <c r="F57" s="23"/>
      <c r="G57" s="23"/>
      <c r="H57" s="23"/>
      <c r="I57" s="23"/>
    </row>
    <row r="59" customFormat="false" ht="15" hidden="false" customHeight="false" outlineLevel="0" collapsed="false">
      <c r="A59" s="21" t="s">
        <v>143</v>
      </c>
      <c r="B59" s="21"/>
      <c r="C59" s="21"/>
      <c r="D59" s="21"/>
      <c r="E59" s="21"/>
      <c r="F59" s="21"/>
      <c r="G59" s="21"/>
      <c r="H59" s="21"/>
      <c r="I59" s="21"/>
    </row>
    <row r="60" customFormat="false" ht="24" hidden="false" customHeight="true" outlineLevel="0" collapsed="false">
      <c r="A60" s="34" t="s">
        <v>144</v>
      </c>
      <c r="B60" s="34" t="s">
        <v>145</v>
      </c>
      <c r="C60" s="34" t="s">
        <v>146</v>
      </c>
      <c r="D60" s="34" t="s">
        <v>147</v>
      </c>
      <c r="E60" s="34" t="s">
        <v>148</v>
      </c>
      <c r="F60" s="34" t="s">
        <v>149</v>
      </c>
      <c r="G60" s="34" t="s">
        <v>150</v>
      </c>
      <c r="H60" s="34" t="s">
        <v>151</v>
      </c>
      <c r="I60" s="34" t="s">
        <v>152</v>
      </c>
    </row>
    <row r="61" customFormat="false" ht="15" hidden="false" customHeight="false" outlineLevel="0" collapsed="false">
      <c r="A61" s="50" t="n">
        <v>0.02</v>
      </c>
      <c r="B61" s="51" t="n">
        <v>0.18</v>
      </c>
      <c r="C61" s="52" t="n">
        <f aca="false">B61*(1+$B$36)</f>
        <v>0.1818</v>
      </c>
      <c r="D61" s="38" t="n">
        <v>0.4</v>
      </c>
      <c r="E61" s="39" t="n">
        <f aca="false">$B$56*D61</f>
        <v>462000</v>
      </c>
      <c r="F61" s="53" t="n">
        <f aca="false">ROUNDUP(E61/(1-C61),0)</f>
        <v>564655</v>
      </c>
      <c r="G61" s="39" t="n">
        <f aca="false">F61*C61</f>
        <v>102654.279</v>
      </c>
      <c r="H61" s="54" t="n">
        <v>50000</v>
      </c>
      <c r="I61" s="55" t="str">
        <f aca="false">IF(F61&gt;10*H61,"THIN BOOK — split tenors/levels","OK")</f>
        <v>THIN BOOK — split tenors/levels</v>
      </c>
    </row>
    <row r="62" customFormat="false" ht="15" hidden="false" customHeight="false" outlineLevel="0" collapsed="false">
      <c r="A62" s="50" t="n">
        <v>0.04</v>
      </c>
      <c r="B62" s="51" t="n">
        <v>0.11</v>
      </c>
      <c r="C62" s="52" t="n">
        <f aca="false">B62*(1+$B$36)</f>
        <v>0.1111</v>
      </c>
      <c r="D62" s="38" t="n">
        <v>0.35</v>
      </c>
      <c r="E62" s="39" t="n">
        <f aca="false">$B$56*D62</f>
        <v>404250</v>
      </c>
      <c r="F62" s="53" t="n">
        <f aca="false">ROUNDUP(E62/(1-C62),0)</f>
        <v>454776</v>
      </c>
      <c r="G62" s="39" t="n">
        <f aca="false">F62*C62</f>
        <v>50525.6136</v>
      </c>
      <c r="H62" s="54" t="n">
        <v>50000</v>
      </c>
      <c r="I62" s="55" t="str">
        <f aca="false">IF(F62&gt;10*H62,"THIN BOOK — split tenors/levels","OK")</f>
        <v>OK</v>
      </c>
    </row>
    <row r="63" customFormat="false" ht="15" hidden="false" customHeight="false" outlineLevel="0" collapsed="false">
      <c r="A63" s="50" t="n">
        <v>0.06</v>
      </c>
      <c r="B63" s="51" t="n">
        <v>0.06</v>
      </c>
      <c r="C63" s="52" t="n">
        <f aca="false">B63*(1+$B$36)</f>
        <v>0.0606</v>
      </c>
      <c r="D63" s="38" t="n">
        <v>0.25</v>
      </c>
      <c r="E63" s="39" t="n">
        <f aca="false">$B$56*D63</f>
        <v>288750</v>
      </c>
      <c r="F63" s="53" t="n">
        <f aca="false">ROUNDUP(E63/(1-C63),0)</f>
        <v>307378</v>
      </c>
      <c r="G63" s="39" t="n">
        <f aca="false">F63*C63</f>
        <v>18627.1068</v>
      </c>
      <c r="H63" s="54" t="n">
        <v>50000</v>
      </c>
      <c r="I63" s="55" t="str">
        <f aca="false">IF(F63&gt;10*H63,"THIN BOOK — split tenors/levels","OK")</f>
        <v>OK</v>
      </c>
    </row>
    <row r="64" customFormat="false" ht="15" hidden="false" customHeight="false" outlineLevel="0" collapsed="false">
      <c r="A64" s="15" t="s">
        <v>153</v>
      </c>
      <c r="D64" s="56" t="n">
        <f aca="false">SUM(D61:D63)</f>
        <v>1</v>
      </c>
      <c r="E64" s="57" t="n">
        <f aca="false">SUM(E61:E63)</f>
        <v>1155000</v>
      </c>
      <c r="F64" s="58" t="n">
        <f aca="false">SUM(F61:F63)</f>
        <v>1326809</v>
      </c>
      <c r="G64" s="57" t="n">
        <f aca="false">SUM(G61:G63)</f>
        <v>171806.9994</v>
      </c>
    </row>
    <row r="65" customFormat="false" ht="15" hidden="false" customHeight="false" outlineLevel="0" collapsed="false">
      <c r="A65" s="59" t="str">
        <f aca="false">IF(AND(ROUND(SUM(D61:D63),4)=1,$B$30&lt;A61,A61&lt;=A62,A62&lt;=A63,ROUND(A63,4)=ROUND($B$29,4)),"Ladder checks: OK (allocations sum to 100%; attach &lt; K1 ≤ K2 ≤ K3 = d)","WARNING — fix the ladder: allocations must sum to 100%; strikes must run shallow → deep; attach a &lt; first strike; deepest strike must equal d")</f>
        <v>Ladder checks: OK (allocations sum to 100%; attach &lt; K1 ≤ K2 ≤ K3 = d)</v>
      </c>
      <c r="B65" s="59"/>
      <c r="C65" s="59"/>
      <c r="D65" s="59"/>
      <c r="E65" s="59"/>
      <c r="F65" s="59"/>
      <c r="G65" s="59"/>
      <c r="H65" s="59"/>
      <c r="I65" s="59"/>
    </row>
    <row r="67" customFormat="false" ht="15" hidden="false" customHeight="false" outlineLevel="0" collapsed="false">
      <c r="A67" s="21" t="s">
        <v>154</v>
      </c>
      <c r="B67" s="21"/>
      <c r="C67" s="21"/>
      <c r="D67" s="21"/>
      <c r="E67" s="21"/>
      <c r="F67" s="21"/>
      <c r="G67" s="21"/>
      <c r="H67" s="21"/>
      <c r="I67" s="21"/>
    </row>
    <row r="68" customFormat="false" ht="15" hidden="false" customHeight="true" outlineLevel="0" collapsed="false">
      <c r="A68" s="19" t="s">
        <v>155</v>
      </c>
      <c r="B68" s="60" t="n">
        <f aca="false">F64</f>
        <v>1326809</v>
      </c>
      <c r="C68" s="23" t="s">
        <v>156</v>
      </c>
      <c r="D68" s="23"/>
      <c r="E68" s="23"/>
      <c r="F68" s="23"/>
      <c r="G68" s="23"/>
      <c r="H68" s="23"/>
      <c r="I68" s="23"/>
    </row>
    <row r="69" customFormat="false" ht="15" hidden="false" customHeight="false" outlineLevel="0" collapsed="false">
      <c r="A69" s="19" t="s">
        <v>157</v>
      </c>
      <c r="B69" s="27" t="n">
        <f aca="false">F64</f>
        <v>1326809</v>
      </c>
    </row>
    <row r="70" customFormat="false" ht="15" hidden="false" customHeight="false" outlineLevel="0" collapsed="false">
      <c r="A70" s="24" t="s">
        <v>158</v>
      </c>
      <c r="B70" s="25" t="n">
        <f aca="false">G64</f>
        <v>171806.9994</v>
      </c>
    </row>
    <row r="71" customFormat="false" ht="15" hidden="false" customHeight="true" outlineLevel="0" collapsed="false">
      <c r="A71" s="19" t="s">
        <v>159</v>
      </c>
      <c r="B71" s="61" t="n">
        <f aca="false">B70/$B$16</f>
        <v>0.00156188181272727</v>
      </c>
      <c r="C71" s="23" t="s">
        <v>160</v>
      </c>
      <c r="D71" s="23"/>
      <c r="E71" s="23"/>
      <c r="F71" s="23"/>
      <c r="G71" s="23"/>
      <c r="H71" s="23"/>
      <c r="I71" s="23"/>
    </row>
    <row r="72" customFormat="false" ht="15" hidden="false" customHeight="true" outlineLevel="0" collapsed="false">
      <c r="A72" s="19" t="s">
        <v>161</v>
      </c>
      <c r="B72" s="61" t="n">
        <f aca="false">B70/$B$53</f>
        <v>0.00156188181272727</v>
      </c>
      <c r="C72" s="23" t="s">
        <v>162</v>
      </c>
      <c r="D72" s="23"/>
      <c r="E72" s="23"/>
      <c r="F72" s="23"/>
      <c r="G72" s="23"/>
      <c r="H72" s="23"/>
      <c r="I72" s="23"/>
    </row>
    <row r="73" customFormat="false" ht="15" hidden="false" customHeight="false" outlineLevel="0" collapsed="false">
      <c r="A73" s="19" t="s">
        <v>163</v>
      </c>
      <c r="B73" s="27" t="n">
        <f aca="false">SUMPRODUCT(($A$61:$A$63&lt;=$B$29)*$F$61:$F$63)</f>
        <v>1326809</v>
      </c>
    </row>
    <row r="74" customFormat="false" ht="15" hidden="false" customHeight="true" outlineLevel="0" collapsed="false">
      <c r="A74" s="24" t="s">
        <v>164</v>
      </c>
      <c r="B74" s="25" t="n">
        <f aca="false">B73-B70</f>
        <v>1155002.0006</v>
      </c>
      <c r="C74" s="23" t="s">
        <v>165</v>
      </c>
      <c r="D74" s="23"/>
      <c r="E74" s="23"/>
      <c r="F74" s="23"/>
      <c r="G74" s="23"/>
      <c r="H74" s="23"/>
      <c r="I74" s="23"/>
    </row>
    <row r="75" customFormat="false" ht="15" hidden="false" customHeight="false" outlineLevel="0" collapsed="false">
      <c r="A75" s="19" t="s">
        <v>166</v>
      </c>
      <c r="B75" s="27" t="n">
        <f aca="false">B53*B55*MAX(B29-B30,0)</f>
        <v>3300000</v>
      </c>
    </row>
    <row r="76" customFormat="false" ht="15" hidden="false" customHeight="true" outlineLevel="0" collapsed="false">
      <c r="A76" s="19" t="s">
        <v>167</v>
      </c>
      <c r="B76" s="27" t="n">
        <f aca="false">B75-B74</f>
        <v>2144997.9994</v>
      </c>
      <c r="C76" s="23" t="s">
        <v>168</v>
      </c>
      <c r="D76" s="23"/>
      <c r="E76" s="23"/>
      <c r="F76" s="23"/>
      <c r="G76" s="23"/>
      <c r="H76" s="23"/>
      <c r="I76" s="23"/>
    </row>
    <row r="77" customFormat="false" ht="15" hidden="false" customHeight="false" outlineLevel="0" collapsed="false">
      <c r="A77" s="19" t="s">
        <v>169</v>
      </c>
      <c r="B77" s="62" t="n">
        <f aca="false">B74/MAX(B75,1)</f>
        <v>0.350000606242424</v>
      </c>
    </row>
    <row r="78" customFormat="false" ht="19.5" hidden="false" customHeight="true" outlineLevel="0" collapsed="false">
      <c r="A78" s="24" t="s">
        <v>170</v>
      </c>
      <c r="B78" s="63" t="str">
        <f aca="false">IF($B$48&lt;0.15,"WEAK PROXY HEDGE — HE = "&amp;TEXT($B$48,"0.000")&amp;": a ZHVI hedge removes little of this risk. Consider hedging only the housing-linked slice of the exposure, or not hedging with ZHVI binaries.","OK — HE ≥ 0.15")</f>
        <v>OK — HE ≥ 0.15</v>
      </c>
      <c r="C78" s="63"/>
      <c r="D78" s="63"/>
      <c r="E78" s="63"/>
      <c r="F78" s="63"/>
      <c r="G78" s="63"/>
      <c r="H78" s="63"/>
      <c r="I78" s="63"/>
    </row>
    <row r="79" customFormat="false" ht="15" hidden="false" customHeight="false" outlineLevel="0" collapsed="false">
      <c r="A79" s="24" t="s">
        <v>171</v>
      </c>
      <c r="B79" s="64" t="n">
        <f aca="false">INDEX(Methodology!$B$28:$B$32,MATCH($B$32,Methodology!$A$28:$A$32,0))</f>
        <v>50000</v>
      </c>
      <c r="C79" s="63" t="str">
        <f aca="false">IF($B$56&lt;B79,"Coverage target is below this level's capitalization floor — the book may not exist; move up a level.","OK — coverage ≥ the level floor ($5k zip / $50k city-county / $100k state)")</f>
        <v>OK — coverage ≥ the level floor ($5k zip / $50k city-county / $100k state)</v>
      </c>
      <c r="D79" s="63"/>
      <c r="E79" s="63"/>
      <c r="F79" s="63"/>
      <c r="G79" s="63"/>
      <c r="H79" s="63"/>
      <c r="I79" s="63"/>
    </row>
    <row r="80" customFormat="false" ht="15" hidden="false" customHeight="false" outlineLevel="0" collapsed="false">
      <c r="A80" s="24" t="s">
        <v>172</v>
      </c>
      <c r="B80" s="63" t="str">
        <f aca="false">IF(COUNTIF($I$61:$I$63,"OK")=3,"OK — every strike within 10× resting book depth","THIN BOOK on ≥1 strike — split across tenors/levels, use the county/state book, or stagger entry")</f>
        <v>THIN BOOK on ≥1 strike — split across tenors/levels, use the county/state book, or stagger entry</v>
      </c>
      <c r="C80" s="63"/>
      <c r="D80" s="63"/>
      <c r="E80" s="63"/>
      <c r="F80" s="63"/>
      <c r="G80" s="63"/>
      <c r="H80" s="63"/>
      <c r="I80" s="63"/>
    </row>
    <row r="81" customFormat="false" ht="21.75" hidden="false" customHeight="true" outlineLevel="0" collapsed="false">
      <c r="A81" s="4" t="s">
        <v>173</v>
      </c>
      <c r="B81" s="4"/>
      <c r="C81" s="4"/>
      <c r="D81" s="4"/>
      <c r="E81" s="4"/>
      <c r="F81" s="4"/>
      <c r="G81" s="4"/>
      <c r="H81" s="4"/>
      <c r="I81" s="4"/>
    </row>
    <row r="83" customFormat="false" ht="18" hidden="false" customHeight="true" outlineLevel="0" collapsed="false">
      <c r="A83" s="3" t="s">
        <v>174</v>
      </c>
      <c r="B83" s="3"/>
      <c r="C83" s="3"/>
      <c r="D83" s="3"/>
      <c r="E83" s="3"/>
      <c r="F83" s="3"/>
      <c r="G83" s="3"/>
      <c r="H83" s="3"/>
      <c r="I83" s="3"/>
    </row>
    <row r="84" customFormat="false" ht="15" hidden="false" customHeight="false" outlineLevel="0" collapsed="false">
      <c r="A84" s="21" t="s">
        <v>175</v>
      </c>
      <c r="B84" s="21"/>
      <c r="C84" s="21"/>
      <c r="D84" s="21"/>
      <c r="E84" s="21"/>
      <c r="F84" s="21"/>
      <c r="G84" s="21"/>
      <c r="H84" s="21"/>
      <c r="I84" s="21"/>
    </row>
    <row r="85" customFormat="false" ht="15" hidden="false" customHeight="false" outlineLevel="0" collapsed="false">
      <c r="A85" s="19" t="s">
        <v>176</v>
      </c>
      <c r="B85" s="65" t="n">
        <v>200</v>
      </c>
    </row>
    <row r="86" customFormat="false" ht="15" hidden="false" customHeight="true" outlineLevel="0" collapsed="false">
      <c r="A86" s="19" t="s">
        <v>177</v>
      </c>
      <c r="B86" s="22" t="n">
        <v>4350</v>
      </c>
      <c r="C86" s="23" t="s">
        <v>178</v>
      </c>
      <c r="D86" s="23"/>
      <c r="E86" s="23"/>
      <c r="F86" s="23"/>
      <c r="G86" s="23"/>
      <c r="H86" s="23"/>
      <c r="I86" s="23"/>
    </row>
    <row r="87" customFormat="false" ht="15" hidden="false" customHeight="false" outlineLevel="0" collapsed="false">
      <c r="A87" s="19" t="s">
        <v>179</v>
      </c>
      <c r="B87" s="32" t="n">
        <v>0.05</v>
      </c>
    </row>
    <row r="88" customFormat="false" ht="15" hidden="false" customHeight="false" outlineLevel="0" collapsed="false">
      <c r="A88" s="19" t="s">
        <v>180</v>
      </c>
      <c r="B88" s="32" t="n">
        <v>0.03</v>
      </c>
    </row>
    <row r="89" customFormat="false" ht="15" hidden="false" customHeight="false" outlineLevel="0" collapsed="false">
      <c r="A89" s="19" t="s">
        <v>181</v>
      </c>
      <c r="B89" s="32" t="n">
        <v>0.35</v>
      </c>
    </row>
    <row r="90" customFormat="false" ht="15" hidden="false" customHeight="false" outlineLevel="0" collapsed="false">
      <c r="A90" s="19" t="s">
        <v>182</v>
      </c>
      <c r="B90" s="27" t="n">
        <f aca="false">B85*B86*12</f>
        <v>10440000</v>
      </c>
    </row>
    <row r="91" customFormat="false" ht="15" hidden="false" customHeight="false" outlineLevel="0" collapsed="false">
      <c r="A91" s="19" t="s">
        <v>183</v>
      </c>
      <c r="B91" s="27" t="n">
        <f aca="false">B90*(1-B87)*(1+B88)</f>
        <v>10215540</v>
      </c>
    </row>
    <row r="92" customFormat="false" ht="15" hidden="false" customHeight="false" outlineLevel="0" collapsed="false">
      <c r="A92" s="24" t="s">
        <v>184</v>
      </c>
      <c r="B92" s="25" t="n">
        <f aca="false">B91*(1-B89)</f>
        <v>6640101</v>
      </c>
    </row>
    <row r="93" customFormat="false" ht="15" hidden="false" customHeight="false" outlineLevel="0" collapsed="false">
      <c r="A93" s="21" t="s">
        <v>185</v>
      </c>
      <c r="B93" s="21"/>
      <c r="C93" s="21"/>
      <c r="D93" s="21"/>
      <c r="E93" s="21"/>
      <c r="F93" s="21"/>
      <c r="G93" s="21"/>
      <c r="H93" s="21"/>
      <c r="I93" s="21"/>
    </row>
    <row r="94" customFormat="false" ht="15" hidden="false" customHeight="true" outlineLevel="0" collapsed="false">
      <c r="A94" s="19" t="s">
        <v>186</v>
      </c>
      <c r="B94" s="61" t="n">
        <f aca="false">B92/$B$16</f>
        <v>0.0603645545454545</v>
      </c>
      <c r="C94" s="23" t="s">
        <v>187</v>
      </c>
      <c r="D94" s="23"/>
      <c r="E94" s="23"/>
      <c r="F94" s="23"/>
      <c r="G94" s="23"/>
      <c r="H94" s="23"/>
      <c r="I94" s="23"/>
    </row>
    <row r="95" customFormat="false" ht="15" hidden="false" customHeight="true" outlineLevel="0" collapsed="false">
      <c r="A95" s="19" t="s">
        <v>188</v>
      </c>
      <c r="B95" s="66" t="n">
        <v>0.05125</v>
      </c>
      <c r="C95" s="23" t="s">
        <v>189</v>
      </c>
      <c r="D95" s="23"/>
      <c r="E95" s="23"/>
      <c r="F95" s="23"/>
      <c r="G95" s="23"/>
      <c r="H95" s="23"/>
      <c r="I95" s="23"/>
    </row>
    <row r="96" customFormat="false" ht="15" hidden="false" customHeight="true" outlineLevel="0" collapsed="false">
      <c r="A96" s="19" t="s">
        <v>190</v>
      </c>
      <c r="B96" s="67" t="n">
        <f aca="false">(B94-B95)*10000</f>
        <v>91.1455454545455</v>
      </c>
      <c r="C96" s="23" t="s">
        <v>191</v>
      </c>
      <c r="D96" s="23"/>
      <c r="E96" s="23"/>
      <c r="F96" s="23"/>
      <c r="G96" s="23"/>
      <c r="H96" s="23"/>
      <c r="I96" s="23"/>
    </row>
    <row r="97" customFormat="false" ht="15" hidden="false" customHeight="false" outlineLevel="0" collapsed="false">
      <c r="A97" s="19" t="s">
        <v>192</v>
      </c>
      <c r="B97" s="66" t="n">
        <v>0.065</v>
      </c>
    </row>
    <row r="98" customFormat="false" ht="15" hidden="false" customHeight="false" outlineLevel="0" collapsed="false">
      <c r="A98" s="19" t="s">
        <v>193</v>
      </c>
      <c r="B98" s="27" t="n">
        <f aca="false">$B$19*B97</f>
        <v>4290000</v>
      </c>
    </row>
    <row r="99" customFormat="false" ht="15" hidden="false" customHeight="true" outlineLevel="0" collapsed="false">
      <c r="A99" s="19" t="s">
        <v>194</v>
      </c>
      <c r="B99" s="68" t="n">
        <f aca="false">B92/B98</f>
        <v>1.54780909090909</v>
      </c>
      <c r="C99" s="23" t="s">
        <v>195</v>
      </c>
      <c r="D99" s="23"/>
      <c r="E99" s="23"/>
      <c r="F99" s="23"/>
      <c r="G99" s="23"/>
      <c r="H99" s="23"/>
      <c r="I99" s="23"/>
    </row>
    <row r="100" customFormat="false" ht="15" hidden="false" customHeight="true" outlineLevel="0" collapsed="false">
      <c r="A100" s="19" t="s">
        <v>196</v>
      </c>
      <c r="B100" s="61" t="n">
        <f aca="false">B92/$B$19</f>
        <v>0.100607590909091</v>
      </c>
      <c r="C100" s="23" t="s">
        <v>197</v>
      </c>
      <c r="D100" s="23"/>
      <c r="E100" s="23"/>
      <c r="F100" s="23"/>
      <c r="G100" s="23"/>
      <c r="H100" s="23"/>
      <c r="I100" s="23"/>
    </row>
    <row r="101" customFormat="false" ht="15" hidden="false" customHeight="true" outlineLevel="0" collapsed="false">
      <c r="A101" s="19" t="s">
        <v>198</v>
      </c>
      <c r="B101" s="49" t="n">
        <f aca="false">(B91*B89+B98)/B90</f>
        <v>0.753394540229885</v>
      </c>
      <c r="C101" s="23" t="s">
        <v>199</v>
      </c>
      <c r="D101" s="23"/>
      <c r="E101" s="23"/>
      <c r="F101" s="23"/>
      <c r="G101" s="23"/>
      <c r="H101" s="23"/>
      <c r="I101" s="23"/>
    </row>
    <row r="102" customFormat="false" ht="13.5" hidden="false" customHeight="true" outlineLevel="0" collapsed="false">
      <c r="A102" s="4" t="s">
        <v>200</v>
      </c>
      <c r="B102" s="4"/>
      <c r="C102" s="4"/>
      <c r="D102" s="4"/>
      <c r="E102" s="4"/>
      <c r="F102" s="4"/>
      <c r="G102" s="4"/>
      <c r="H102" s="4"/>
      <c r="I102" s="4"/>
    </row>
  </sheetData>
  <mergeCells count="69">
    <mergeCell ref="A1:I1"/>
    <mergeCell ref="A2:I2"/>
    <mergeCell ref="A3:I3"/>
    <mergeCell ref="A5:I5"/>
    <mergeCell ref="A10:I10"/>
    <mergeCell ref="C11:I11"/>
    <mergeCell ref="C12:I12"/>
    <mergeCell ref="C15:I15"/>
    <mergeCell ref="C16:I16"/>
    <mergeCell ref="A17:I17"/>
    <mergeCell ref="C18:I18"/>
    <mergeCell ref="C20:I20"/>
    <mergeCell ref="A21:I21"/>
    <mergeCell ref="C27:I27"/>
    <mergeCell ref="A28:I28"/>
    <mergeCell ref="C29:I29"/>
    <mergeCell ref="C30:I30"/>
    <mergeCell ref="A31:I31"/>
    <mergeCell ref="C32:I32"/>
    <mergeCell ref="C33:I33"/>
    <mergeCell ref="C34:I34"/>
    <mergeCell ref="C35:I35"/>
    <mergeCell ref="C36:I36"/>
    <mergeCell ref="A38:I38"/>
    <mergeCell ref="E39:G39"/>
    <mergeCell ref="H39:I39"/>
    <mergeCell ref="E40:G40"/>
    <mergeCell ref="H40:I40"/>
    <mergeCell ref="E41:G41"/>
    <mergeCell ref="H41:I41"/>
    <mergeCell ref="E42:G42"/>
    <mergeCell ref="H42:I42"/>
    <mergeCell ref="E43:G43"/>
    <mergeCell ref="H43:I43"/>
    <mergeCell ref="A44:I44"/>
    <mergeCell ref="A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6:I56"/>
    <mergeCell ref="C57:I57"/>
    <mergeCell ref="A59:I59"/>
    <mergeCell ref="A65:I65"/>
    <mergeCell ref="A67:I67"/>
    <mergeCell ref="C68:I68"/>
    <mergeCell ref="C71:I71"/>
    <mergeCell ref="C72:I72"/>
    <mergeCell ref="C74:I74"/>
    <mergeCell ref="C76:I76"/>
    <mergeCell ref="B78:I78"/>
    <mergeCell ref="C79:I79"/>
    <mergeCell ref="B80:I80"/>
    <mergeCell ref="A81:I81"/>
    <mergeCell ref="A83:I83"/>
    <mergeCell ref="A84:I84"/>
    <mergeCell ref="C86:I86"/>
    <mergeCell ref="A93:I93"/>
    <mergeCell ref="C94:I94"/>
    <mergeCell ref="C95:I95"/>
    <mergeCell ref="C96:I96"/>
    <mergeCell ref="C99:I99"/>
    <mergeCell ref="C100:I100"/>
    <mergeCell ref="C101:I101"/>
    <mergeCell ref="A102:I102"/>
  </mergeCells>
  <dataValidations count="4">
    <dataValidation allowBlank="false" errorStyle="stop" operator="between" showDropDown="false" showErrorMessage="false" showInputMessage="false" sqref="B27" type="list">
      <formula1>"1. Pre-Dev / Entitlement,2. Construction,3. Lease-Up / Sell-Out,4. Stabilization"</formula1>
      <formula2>0</formula2>
    </dataValidation>
    <dataValidation allowBlank="false" errorStyle="stop" operator="between" showDropDown="false" showErrorMessage="false" showInputMessage="false" sqref="B32" type="list">
      <formula1>"Zip,Neighborhood,City,County,State"</formula1>
      <formula2>0</formula2>
    </dataValidation>
    <dataValidation allowBlank="false" errorStyle="stop" operator="between" showDropDown="false" showErrorMessage="false" showInputMessage="false" sqref="B34" type="list">
      <formula1>"Rates shock,Credit bust"</formula1>
      <formula2>0</formula2>
    </dataValidation>
    <dataValidation allowBlank="false" errorStyle="stop" operator="between" showDropDown="false" showErrorMessage="false" showInputMessage="false" sqref="B35" type="list">
      <formula1>"LOW,BASE,HIGH"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F172A"/>
    <pageSetUpPr fitToPage="false"/>
  </sheetPr>
  <dimension ref="A1:I10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8"/>
    <col collapsed="false" customWidth="true" hidden="false" outlineLevel="0" max="4" min="3" style="0" width="14"/>
    <col collapsed="false" customWidth="true" hidden="false" outlineLevel="0" max="7" min="5" style="0" width="16"/>
    <col collapsed="false" customWidth="true" hidden="false" outlineLevel="0" max="8" min="8" style="0" width="14"/>
    <col collapsed="false" customWidth="true" hidden="false" outlineLevel="0" max="9" min="9" style="0" width="38"/>
  </cols>
  <sheetData>
    <row r="1" customFormat="false" ht="30" hidden="false" customHeight="true" outlineLevel="0" collapsed="false">
      <c r="A1" s="17" t="s">
        <v>201</v>
      </c>
      <c r="B1" s="17"/>
      <c r="C1" s="17"/>
      <c r="D1" s="17"/>
      <c r="E1" s="17"/>
      <c r="F1" s="17"/>
      <c r="G1" s="17"/>
      <c r="H1" s="17"/>
      <c r="I1" s="17"/>
    </row>
    <row r="2" customFormat="false" ht="25.5" hidden="false" customHeight="true" outlineLevel="0" collapsed="false">
      <c r="A2" s="18" t="s">
        <v>202</v>
      </c>
      <c r="B2" s="18"/>
      <c r="C2" s="18"/>
      <c r="D2" s="18"/>
      <c r="E2" s="18"/>
      <c r="F2" s="18"/>
      <c r="G2" s="18"/>
      <c r="H2" s="18"/>
      <c r="I2" s="18"/>
    </row>
    <row r="3" customFormat="false" ht="12" hidden="false" customHeight="true" outlineLevel="0" collapsed="false">
      <c r="A3" s="4" t="s">
        <v>53</v>
      </c>
      <c r="B3" s="4"/>
      <c r="C3" s="4"/>
      <c r="D3" s="4"/>
      <c r="E3" s="4"/>
      <c r="F3" s="4"/>
      <c r="G3" s="4"/>
      <c r="H3" s="4"/>
      <c r="I3" s="4"/>
    </row>
    <row r="5" customFormat="false" ht="18" hidden="false" customHeight="true" outlineLevel="0" collapsed="false">
      <c r="A5" s="3" t="s">
        <v>54</v>
      </c>
      <c r="B5" s="3"/>
      <c r="C5" s="3"/>
      <c r="D5" s="3"/>
      <c r="E5" s="3"/>
      <c r="F5" s="3"/>
      <c r="G5" s="3"/>
      <c r="H5" s="3"/>
      <c r="I5" s="3"/>
    </row>
    <row r="6" customFormat="false" ht="15" hidden="false" customHeight="false" outlineLevel="0" collapsed="false">
      <c r="A6" s="19" t="s">
        <v>55</v>
      </c>
      <c r="B6" s="20" t="s">
        <v>203</v>
      </c>
    </row>
    <row r="7" customFormat="false" ht="15" hidden="false" customHeight="false" outlineLevel="0" collapsed="false">
      <c r="A7" s="19" t="s">
        <v>57</v>
      </c>
      <c r="B7" s="20" t="s">
        <v>204</v>
      </c>
    </row>
    <row r="8" customFormat="false" ht="15" hidden="false" customHeight="false" outlineLevel="0" collapsed="false">
      <c r="A8" s="19" t="s">
        <v>59</v>
      </c>
      <c r="B8" s="20" t="s">
        <v>205</v>
      </c>
    </row>
    <row r="9" customFormat="false" ht="15" hidden="false" customHeight="false" outlineLevel="0" collapsed="false">
      <c r="A9" s="19" t="s">
        <v>61</v>
      </c>
      <c r="B9" s="20" t="s">
        <v>206</v>
      </c>
    </row>
    <row r="10" customFormat="false" ht="15" hidden="false" customHeight="false" outlineLevel="0" collapsed="false">
      <c r="A10" s="21" t="s">
        <v>63</v>
      </c>
      <c r="B10" s="21"/>
      <c r="C10" s="21"/>
      <c r="D10" s="21"/>
      <c r="E10" s="21"/>
      <c r="F10" s="21"/>
      <c r="G10" s="21"/>
      <c r="H10" s="21"/>
      <c r="I10" s="21"/>
    </row>
    <row r="11" customFormat="false" ht="15" hidden="false" customHeight="true" outlineLevel="0" collapsed="false">
      <c r="A11" s="19" t="s">
        <v>64</v>
      </c>
      <c r="B11" s="22" t="n">
        <v>3068000</v>
      </c>
      <c r="C11" s="23" t="s">
        <v>207</v>
      </c>
      <c r="D11" s="23"/>
      <c r="E11" s="23"/>
      <c r="F11" s="23"/>
      <c r="G11" s="23"/>
      <c r="H11" s="23"/>
      <c r="I11" s="23"/>
    </row>
    <row r="12" customFormat="false" ht="15" hidden="false" customHeight="true" outlineLevel="0" collapsed="false">
      <c r="A12" s="19" t="s">
        <v>66</v>
      </c>
      <c r="B12" s="22" t="n">
        <v>14424000</v>
      </c>
      <c r="C12" s="23" t="s">
        <v>208</v>
      </c>
      <c r="D12" s="23"/>
      <c r="E12" s="23"/>
      <c r="F12" s="23"/>
      <c r="G12" s="23"/>
      <c r="H12" s="23"/>
      <c r="I12" s="23"/>
    </row>
    <row r="13" customFormat="false" ht="15" hidden="false" customHeight="true" outlineLevel="0" collapsed="false">
      <c r="A13" s="19" t="s">
        <v>209</v>
      </c>
      <c r="B13" s="22" t="n">
        <v>2084000</v>
      </c>
      <c r="C13" s="23" t="s">
        <v>210</v>
      </c>
      <c r="D13" s="23"/>
      <c r="E13" s="23"/>
      <c r="F13" s="23"/>
      <c r="G13" s="23"/>
      <c r="H13" s="23"/>
      <c r="I13" s="23"/>
    </row>
    <row r="14" customFormat="false" ht="15" hidden="false" customHeight="false" outlineLevel="0" collapsed="false">
      <c r="A14" s="19" t="s">
        <v>69</v>
      </c>
      <c r="B14" s="22" t="n">
        <v>336000</v>
      </c>
    </row>
    <row r="15" customFormat="false" ht="15" hidden="false" customHeight="true" outlineLevel="0" collapsed="false">
      <c r="A15" s="19" t="s">
        <v>211</v>
      </c>
      <c r="B15" s="22" t="n">
        <v>0</v>
      </c>
      <c r="C15" s="23" t="s">
        <v>212</v>
      </c>
      <c r="D15" s="23"/>
      <c r="E15" s="23"/>
      <c r="F15" s="23"/>
      <c r="G15" s="23"/>
      <c r="H15" s="23"/>
      <c r="I15" s="23"/>
    </row>
    <row r="16" customFormat="false" ht="15" hidden="false" customHeight="true" outlineLevel="0" collapsed="false">
      <c r="A16" s="24" t="s">
        <v>72</v>
      </c>
      <c r="B16" s="25" t="n">
        <f aca="false">SUM(B11:B15)</f>
        <v>19912000</v>
      </c>
      <c r="C16" s="23" t="s">
        <v>213</v>
      </c>
      <c r="D16" s="23"/>
      <c r="E16" s="23"/>
      <c r="F16" s="23"/>
      <c r="G16" s="23"/>
      <c r="H16" s="23"/>
      <c r="I16" s="23"/>
    </row>
    <row r="17" customFormat="false" ht="15" hidden="false" customHeight="false" outlineLevel="0" collapsed="false">
      <c r="A17" s="21" t="s">
        <v>74</v>
      </c>
      <c r="B17" s="21"/>
      <c r="C17" s="21"/>
      <c r="D17" s="21"/>
      <c r="E17" s="21"/>
      <c r="F17" s="21"/>
      <c r="G17" s="21"/>
      <c r="H17" s="21"/>
      <c r="I17" s="21"/>
    </row>
    <row r="18" customFormat="false" ht="15" hidden="false" customHeight="true" outlineLevel="0" collapsed="false">
      <c r="A18" s="19" t="s">
        <v>75</v>
      </c>
      <c r="B18" s="26" t="n">
        <v>0.7</v>
      </c>
      <c r="C18" s="23" t="s">
        <v>214</v>
      </c>
      <c r="D18" s="23"/>
      <c r="E18" s="23"/>
      <c r="F18" s="23"/>
      <c r="G18" s="23"/>
      <c r="H18" s="23"/>
      <c r="I18" s="23"/>
    </row>
    <row r="19" customFormat="false" ht="15" hidden="false" customHeight="false" outlineLevel="0" collapsed="false">
      <c r="A19" s="19" t="s">
        <v>77</v>
      </c>
      <c r="B19" s="27" t="n">
        <f aca="false">B16*B18</f>
        <v>13938400</v>
      </c>
    </row>
    <row r="20" customFormat="false" ht="15" hidden="false" customHeight="false" outlineLevel="0" collapsed="false">
      <c r="A20" s="19" t="s">
        <v>78</v>
      </c>
      <c r="B20" s="27" t="n">
        <f aca="false">B16-B19</f>
        <v>5973600</v>
      </c>
    </row>
    <row r="21" customFormat="false" ht="15" hidden="false" customHeight="false" outlineLevel="0" collapsed="false">
      <c r="A21" s="21" t="s">
        <v>80</v>
      </c>
      <c r="B21" s="21"/>
      <c r="C21" s="21"/>
      <c r="D21" s="21"/>
      <c r="E21" s="21"/>
      <c r="F21" s="21"/>
      <c r="G21" s="21"/>
      <c r="H21" s="21"/>
      <c r="I21" s="21"/>
    </row>
    <row r="22" customFormat="false" ht="15" hidden="false" customHeight="false" outlineLevel="0" collapsed="false">
      <c r="A22" s="19" t="s">
        <v>81</v>
      </c>
      <c r="B22" s="28" t="n">
        <v>18</v>
      </c>
    </row>
    <row r="23" customFormat="false" ht="15" hidden="false" customHeight="false" outlineLevel="0" collapsed="false">
      <c r="A23" s="19" t="s">
        <v>82</v>
      </c>
      <c r="B23" s="28" t="n">
        <v>12</v>
      </c>
    </row>
    <row r="24" customFormat="false" ht="15" hidden="false" customHeight="false" outlineLevel="0" collapsed="false">
      <c r="A24" s="19" t="s">
        <v>83</v>
      </c>
      <c r="B24" s="28" t="n">
        <v>14</v>
      </c>
    </row>
    <row r="25" customFormat="false" ht="15" hidden="false" customHeight="false" outlineLevel="0" collapsed="false">
      <c r="A25" s="19" t="s">
        <v>84</v>
      </c>
      <c r="B25" s="28" t="n">
        <v>0</v>
      </c>
    </row>
    <row r="26" customFormat="false" ht="15" hidden="false" customHeight="false" outlineLevel="0" collapsed="false">
      <c r="A26" s="19" t="s">
        <v>85</v>
      </c>
      <c r="B26" s="29" t="n">
        <f aca="false">SUM(B22:B25)</f>
        <v>44</v>
      </c>
    </row>
    <row r="27" customFormat="false" ht="15" hidden="false" customHeight="true" outlineLevel="0" collapsed="false">
      <c r="A27" s="19" t="s">
        <v>86</v>
      </c>
      <c r="B27" s="30" t="s">
        <v>83</v>
      </c>
      <c r="C27" s="23" t="s">
        <v>87</v>
      </c>
      <c r="D27" s="23"/>
      <c r="E27" s="23"/>
      <c r="F27" s="23"/>
      <c r="G27" s="23"/>
      <c r="H27" s="23"/>
      <c r="I27" s="23"/>
    </row>
    <row r="28" customFormat="false" ht="15" hidden="false" customHeight="false" outlineLevel="0" collapsed="false">
      <c r="A28" s="21" t="s">
        <v>88</v>
      </c>
      <c r="B28" s="21"/>
      <c r="C28" s="21"/>
      <c r="D28" s="21"/>
      <c r="E28" s="21"/>
      <c r="F28" s="21"/>
      <c r="G28" s="21"/>
      <c r="H28" s="21"/>
      <c r="I28" s="21"/>
    </row>
    <row r="29" customFormat="false" ht="15" hidden="false" customHeight="true" outlineLevel="0" collapsed="false">
      <c r="A29" s="19" t="s">
        <v>89</v>
      </c>
      <c r="B29" s="31" t="n">
        <v>0.11</v>
      </c>
      <c r="C29" s="23" t="s">
        <v>215</v>
      </c>
      <c r="D29" s="23"/>
      <c r="E29" s="23"/>
      <c r="F29" s="23"/>
      <c r="G29" s="23"/>
      <c r="H29" s="23"/>
      <c r="I29" s="23"/>
    </row>
    <row r="30" customFormat="false" ht="15" hidden="false" customHeight="true" outlineLevel="0" collapsed="false">
      <c r="A30" s="19" t="s">
        <v>91</v>
      </c>
      <c r="B30" s="32" t="n">
        <v>0</v>
      </c>
      <c r="C30" s="23" t="s">
        <v>92</v>
      </c>
      <c r="D30" s="23"/>
      <c r="E30" s="23"/>
      <c r="F30" s="23"/>
      <c r="G30" s="23"/>
      <c r="H30" s="23"/>
      <c r="I30" s="23"/>
    </row>
    <row r="31" customFormat="false" ht="15" hidden="false" customHeight="false" outlineLevel="0" collapsed="false">
      <c r="A31" s="21" t="s">
        <v>93</v>
      </c>
      <c r="B31" s="21"/>
      <c r="C31" s="21"/>
      <c r="D31" s="21"/>
      <c r="E31" s="21"/>
      <c r="F31" s="21"/>
      <c r="G31" s="21"/>
      <c r="H31" s="21"/>
      <c r="I31" s="21"/>
    </row>
    <row r="32" customFormat="false" ht="15" hidden="false" customHeight="true" outlineLevel="0" collapsed="false">
      <c r="A32" s="19" t="s">
        <v>94</v>
      </c>
      <c r="B32" s="20" t="s">
        <v>59</v>
      </c>
      <c r="C32" s="23" t="s">
        <v>95</v>
      </c>
      <c r="D32" s="23"/>
      <c r="E32" s="23"/>
      <c r="F32" s="23"/>
      <c r="G32" s="23"/>
      <c r="H32" s="23"/>
      <c r="I32" s="23"/>
    </row>
    <row r="33" customFormat="false" ht="15" hidden="false" customHeight="true" outlineLevel="0" collapsed="false">
      <c r="A33" s="19" t="s">
        <v>96</v>
      </c>
      <c r="B33" s="33" t="n">
        <v>1</v>
      </c>
      <c r="C33" s="23" t="s">
        <v>97</v>
      </c>
      <c r="D33" s="23"/>
      <c r="E33" s="23"/>
      <c r="F33" s="23"/>
      <c r="G33" s="23"/>
      <c r="H33" s="23"/>
      <c r="I33" s="23"/>
    </row>
    <row r="34" customFormat="false" ht="15" hidden="false" customHeight="true" outlineLevel="0" collapsed="false">
      <c r="A34" s="19" t="s">
        <v>98</v>
      </c>
      <c r="B34" s="20" t="s">
        <v>99</v>
      </c>
      <c r="C34" s="23" t="s">
        <v>100</v>
      </c>
      <c r="D34" s="23"/>
      <c r="E34" s="23"/>
      <c r="F34" s="23"/>
      <c r="G34" s="23"/>
      <c r="H34" s="23"/>
      <c r="I34" s="23"/>
    </row>
    <row r="35" customFormat="false" ht="15" hidden="false" customHeight="true" outlineLevel="0" collapsed="false">
      <c r="A35" s="19" t="s">
        <v>101</v>
      </c>
      <c r="B35" s="20" t="s">
        <v>102</v>
      </c>
      <c r="C35" s="23" t="s">
        <v>103</v>
      </c>
      <c r="D35" s="23"/>
      <c r="E35" s="23"/>
      <c r="F35" s="23"/>
      <c r="G35" s="23"/>
      <c r="H35" s="23"/>
      <c r="I35" s="23"/>
    </row>
    <row r="36" customFormat="false" ht="15" hidden="false" customHeight="true" outlineLevel="0" collapsed="false">
      <c r="A36" s="19" t="s">
        <v>104</v>
      </c>
      <c r="B36" s="32" t="n">
        <v>0.01</v>
      </c>
      <c r="C36" s="23" t="s">
        <v>105</v>
      </c>
      <c r="D36" s="23"/>
      <c r="E36" s="23"/>
      <c r="F36" s="23"/>
      <c r="G36" s="23"/>
      <c r="H36" s="23"/>
      <c r="I36" s="23"/>
    </row>
    <row r="38" customFormat="false" ht="18" hidden="false" customHeight="true" outlineLevel="0" collapsed="false">
      <c r="A38" s="3" t="s">
        <v>106</v>
      </c>
      <c r="B38" s="3"/>
      <c r="C38" s="3"/>
      <c r="D38" s="3"/>
      <c r="E38" s="3"/>
      <c r="F38" s="3"/>
      <c r="G38" s="3"/>
      <c r="H38" s="3"/>
      <c r="I38" s="3"/>
    </row>
    <row r="39" customFormat="false" ht="24" hidden="false" customHeight="true" outlineLevel="0" collapsed="false">
      <c r="A39" s="34" t="s">
        <v>107</v>
      </c>
      <c r="B39" s="34" t="s">
        <v>108</v>
      </c>
      <c r="C39" s="34" t="s">
        <v>109</v>
      </c>
      <c r="D39" s="34" t="s">
        <v>110</v>
      </c>
      <c r="E39" s="35" t="s">
        <v>111</v>
      </c>
      <c r="F39" s="35"/>
      <c r="G39" s="35"/>
      <c r="H39" s="35" t="s">
        <v>112</v>
      </c>
      <c r="I39" s="35"/>
    </row>
    <row r="40" customFormat="false" ht="24" hidden="false" customHeight="true" outlineLevel="0" collapsed="false">
      <c r="A40" s="36" t="s">
        <v>81</v>
      </c>
      <c r="B40" s="37" t="n">
        <f aca="false">B22</f>
        <v>18</v>
      </c>
      <c r="C40" s="38" t="n">
        <v>0.16</v>
      </c>
      <c r="D40" s="39" t="n">
        <f aca="false">C40*$B$16</f>
        <v>3185920</v>
      </c>
      <c r="E40" s="40" t="s">
        <v>216</v>
      </c>
      <c r="F40" s="40"/>
      <c r="G40" s="40"/>
      <c r="H40" s="40" t="s">
        <v>217</v>
      </c>
      <c r="I40" s="40"/>
    </row>
    <row r="41" customFormat="false" ht="24" hidden="false" customHeight="true" outlineLevel="0" collapsed="false">
      <c r="A41" s="36" t="s">
        <v>82</v>
      </c>
      <c r="B41" s="37" t="n">
        <f aca="false">B23</f>
        <v>12</v>
      </c>
      <c r="C41" s="38" t="n">
        <v>0.55</v>
      </c>
      <c r="D41" s="39" t="n">
        <f aca="false">C41*$B$16</f>
        <v>10951600</v>
      </c>
      <c r="E41" s="40" t="s">
        <v>218</v>
      </c>
      <c r="F41" s="40"/>
      <c r="G41" s="40"/>
      <c r="H41" s="40" t="s">
        <v>219</v>
      </c>
      <c r="I41" s="40"/>
    </row>
    <row r="42" customFormat="false" ht="24" hidden="false" customHeight="true" outlineLevel="0" collapsed="false">
      <c r="A42" s="36" t="s">
        <v>83</v>
      </c>
      <c r="B42" s="37" t="n">
        <f aca="false">B24</f>
        <v>14</v>
      </c>
      <c r="C42" s="38" t="n">
        <v>0.55</v>
      </c>
      <c r="D42" s="39" t="n">
        <f aca="false">C42*$B$16</f>
        <v>10951600</v>
      </c>
      <c r="E42" s="40" t="s">
        <v>220</v>
      </c>
      <c r="F42" s="40"/>
      <c r="G42" s="40"/>
      <c r="H42" s="40" t="s">
        <v>221</v>
      </c>
      <c r="I42" s="40"/>
    </row>
    <row r="43" customFormat="false" ht="24" hidden="false" customHeight="true" outlineLevel="0" collapsed="false">
      <c r="A43" s="36" t="s">
        <v>84</v>
      </c>
      <c r="B43" s="37" t="n">
        <f aca="false">B25</f>
        <v>0</v>
      </c>
      <c r="C43" s="38" t="n">
        <v>0.05</v>
      </c>
      <c r="D43" s="39" t="n">
        <f aca="false">C43*$B$16</f>
        <v>995600</v>
      </c>
      <c r="E43" s="40" t="s">
        <v>222</v>
      </c>
      <c r="F43" s="40"/>
      <c r="G43" s="40"/>
      <c r="H43" s="40" t="s">
        <v>223</v>
      </c>
      <c r="I43" s="40"/>
    </row>
    <row r="44" customFormat="false" ht="21.75" hidden="false" customHeight="true" outlineLevel="0" collapsed="false">
      <c r="A44" s="4" t="s">
        <v>224</v>
      </c>
      <c r="B44" s="4"/>
      <c r="C44" s="4"/>
      <c r="D44" s="4"/>
      <c r="E44" s="4"/>
      <c r="F44" s="4"/>
      <c r="G44" s="4"/>
      <c r="H44" s="4"/>
      <c r="I44" s="4"/>
    </row>
    <row r="46" customFormat="false" ht="18" hidden="false" customHeight="true" outlineLevel="0" collapsed="false">
      <c r="A46" s="3" t="s">
        <v>122</v>
      </c>
      <c r="B46" s="3"/>
      <c r="C46" s="3"/>
      <c r="D46" s="3"/>
      <c r="E46" s="3"/>
      <c r="F46" s="3"/>
      <c r="G46" s="3"/>
      <c r="H46" s="3"/>
      <c r="I46" s="3"/>
    </row>
    <row r="47" customFormat="false" ht="15" hidden="false" customHeight="true" outlineLevel="0" collapsed="false">
      <c r="A47" s="19" t="s">
        <v>225</v>
      </c>
      <c r="B47" s="41" t="n">
        <f aca="false">INDEX(Methodology!$B$6:$D$6,MIN(3,IF($B$35="LOW",1,IF($B$35="BASE",2,3))))</f>
        <v>1</v>
      </c>
      <c r="C47" s="23" t="s">
        <v>226</v>
      </c>
      <c r="D47" s="23"/>
      <c r="E47" s="23"/>
      <c r="F47" s="23"/>
      <c r="G47" s="23"/>
      <c r="H47" s="23"/>
      <c r="I47" s="23"/>
    </row>
    <row r="48" customFormat="false" ht="15" hidden="false" customHeight="true" outlineLevel="0" collapsed="false">
      <c r="A48" s="19" t="s">
        <v>125</v>
      </c>
      <c r="B48" s="42" t="n">
        <f aca="false">Methodology!$H$6</f>
        <v>0.875</v>
      </c>
      <c r="C48" s="23" t="s">
        <v>126</v>
      </c>
      <c r="D48" s="23"/>
      <c r="E48" s="23"/>
      <c r="F48" s="23"/>
      <c r="G48" s="23"/>
      <c r="H48" s="23"/>
      <c r="I48" s="23"/>
    </row>
    <row r="49" customFormat="false" ht="15" hidden="false" customHeight="true" outlineLevel="0" collapsed="false">
      <c r="A49" s="19" t="s">
        <v>127</v>
      </c>
      <c r="B49" s="43" t="n">
        <f aca="false">Methodology!$I$6</f>
        <v>0.75</v>
      </c>
      <c r="C49" s="23" t="s">
        <v>128</v>
      </c>
      <c r="D49" s="23"/>
      <c r="E49" s="23"/>
      <c r="F49" s="23"/>
      <c r="G49" s="23"/>
      <c r="H49" s="23"/>
      <c r="I49" s="23"/>
    </row>
    <row r="50" customFormat="false" ht="15" hidden="false" customHeight="true" outlineLevel="0" collapsed="false">
      <c r="A50" s="19" t="s">
        <v>129</v>
      </c>
      <c r="B50" s="44" t="n">
        <f aca="false">INDEX(Methodology!$E$20:$E$23,MATCH($B$27,Methodology!$A$20:$A$23,0))</f>
        <v>0.625</v>
      </c>
      <c r="C50" s="23" t="s">
        <v>130</v>
      </c>
      <c r="D50" s="23"/>
      <c r="E50" s="23"/>
      <c r="F50" s="23"/>
      <c r="G50" s="23"/>
      <c r="H50" s="23"/>
      <c r="I50" s="23"/>
    </row>
    <row r="51" customFormat="false" ht="15" hidden="false" customHeight="true" outlineLevel="0" collapsed="false">
      <c r="A51" s="19" t="s">
        <v>131</v>
      </c>
      <c r="B51" s="26"/>
      <c r="C51" s="23" t="s">
        <v>132</v>
      </c>
      <c r="D51" s="23"/>
      <c r="E51" s="23"/>
      <c r="F51" s="23"/>
      <c r="G51" s="23"/>
      <c r="H51" s="23"/>
      <c r="I51" s="23"/>
    </row>
    <row r="52" customFormat="false" ht="15" hidden="false" customHeight="false" outlineLevel="0" collapsed="false">
      <c r="A52" s="24" t="s">
        <v>133</v>
      </c>
      <c r="B52" s="45" t="n">
        <f aca="false">MIN(IF($B$51="",$B$50,$B$51),$B$49)</f>
        <v>0.625</v>
      </c>
      <c r="C52" s="46" t="str">
        <f aca="false">IF(AND($B$51&lt;&gt;"",$B$51&gt;$B$49),"Note: override silently capped at F_max = "&amp;TEXT($B$49,"0%"),"")</f>
        <v/>
      </c>
      <c r="D52" s="46"/>
      <c r="E52" s="46"/>
      <c r="F52" s="46"/>
      <c r="G52" s="46"/>
      <c r="H52" s="46"/>
      <c r="I52" s="46"/>
    </row>
    <row r="53" customFormat="false" ht="15" hidden="false" customHeight="true" outlineLevel="0" collapsed="false">
      <c r="A53" s="19" t="s">
        <v>134</v>
      </c>
      <c r="B53" s="47" t="n">
        <v>16800000</v>
      </c>
      <c r="C53" s="23" t="s">
        <v>227</v>
      </c>
      <c r="D53" s="23"/>
      <c r="E53" s="23"/>
      <c r="F53" s="23"/>
      <c r="G53" s="23"/>
      <c r="H53" s="23"/>
      <c r="I53" s="23"/>
    </row>
    <row r="54" customFormat="false" ht="15" hidden="false" customHeight="true" outlineLevel="0" collapsed="false">
      <c r="A54" s="19" t="s">
        <v>136</v>
      </c>
      <c r="B54" s="27" t="n">
        <f aca="false">INDEX($D$40:$D$43,MATCH($B$27,$A$40:$A$43,0))</f>
        <v>10951600</v>
      </c>
      <c r="C54" s="23" t="s">
        <v>137</v>
      </c>
      <c r="D54" s="23"/>
      <c r="E54" s="23"/>
      <c r="F54" s="23"/>
      <c r="G54" s="23"/>
      <c r="H54" s="23"/>
      <c r="I54" s="23"/>
    </row>
    <row r="55" customFormat="false" ht="15" hidden="false" customHeight="false" outlineLevel="0" collapsed="false">
      <c r="A55" s="19" t="s">
        <v>138</v>
      </c>
      <c r="B55" s="48" t="n">
        <f aca="false">B47*B33</f>
        <v>1</v>
      </c>
    </row>
    <row r="56" customFormat="false" ht="15" hidden="false" customHeight="true" outlineLevel="0" collapsed="false">
      <c r="A56" s="24" t="s">
        <v>139</v>
      </c>
      <c r="B56" s="25" t="n">
        <f aca="false">B53*B55*B29*B52</f>
        <v>1155000</v>
      </c>
      <c r="C56" s="23" t="s">
        <v>140</v>
      </c>
      <c r="D56" s="23"/>
      <c r="E56" s="23"/>
      <c r="F56" s="23"/>
      <c r="G56" s="23"/>
      <c r="H56" s="23"/>
      <c r="I56" s="23"/>
    </row>
    <row r="57" customFormat="false" ht="15" hidden="false" customHeight="true" outlineLevel="0" collapsed="false">
      <c r="A57" s="19" t="s">
        <v>141</v>
      </c>
      <c r="B57" s="49" t="n">
        <f aca="false">B48*B52</f>
        <v>0.546875</v>
      </c>
      <c r="C57" s="23" t="s">
        <v>142</v>
      </c>
      <c r="D57" s="23"/>
      <c r="E57" s="23"/>
      <c r="F57" s="23"/>
      <c r="G57" s="23"/>
      <c r="H57" s="23"/>
      <c r="I57" s="23"/>
    </row>
    <row r="59" customFormat="false" ht="15" hidden="false" customHeight="false" outlineLevel="0" collapsed="false">
      <c r="A59" s="21" t="s">
        <v>143</v>
      </c>
      <c r="B59" s="21"/>
      <c r="C59" s="21"/>
      <c r="D59" s="21"/>
      <c r="E59" s="21"/>
      <c r="F59" s="21"/>
      <c r="G59" s="21"/>
      <c r="H59" s="21"/>
      <c r="I59" s="21"/>
    </row>
    <row r="60" customFormat="false" ht="24" hidden="false" customHeight="true" outlineLevel="0" collapsed="false">
      <c r="A60" s="34" t="s">
        <v>144</v>
      </c>
      <c r="B60" s="34" t="s">
        <v>145</v>
      </c>
      <c r="C60" s="34" t="s">
        <v>146</v>
      </c>
      <c r="D60" s="34" t="s">
        <v>147</v>
      </c>
      <c r="E60" s="34" t="s">
        <v>148</v>
      </c>
      <c r="F60" s="34" t="s">
        <v>149</v>
      </c>
      <c r="G60" s="34" t="s">
        <v>150</v>
      </c>
      <c r="H60" s="34" t="s">
        <v>151</v>
      </c>
      <c r="I60" s="34" t="s">
        <v>152</v>
      </c>
    </row>
    <row r="61" customFormat="false" ht="15" hidden="false" customHeight="false" outlineLevel="0" collapsed="false">
      <c r="A61" s="50" t="n">
        <v>0.04</v>
      </c>
      <c r="B61" s="51" t="n">
        <v>0.22</v>
      </c>
      <c r="C61" s="52" t="n">
        <f aca="false">B61*(1+$B$36)</f>
        <v>0.2222</v>
      </c>
      <c r="D61" s="38" t="n">
        <v>0.4</v>
      </c>
      <c r="E61" s="39" t="n">
        <f aca="false">$B$56*D61</f>
        <v>462000</v>
      </c>
      <c r="F61" s="53" t="n">
        <f aca="false">ROUNDUP(E61/(1-C61),0)</f>
        <v>593984</v>
      </c>
      <c r="G61" s="39" t="n">
        <f aca="false">F61*C61</f>
        <v>131983.2448</v>
      </c>
      <c r="H61" s="54" t="n">
        <v>50000</v>
      </c>
      <c r="I61" s="55" t="str">
        <f aca="false">IF(F61&gt;10*H61,"THIN BOOK — split tenors/levels","OK")</f>
        <v>THIN BOOK — split tenors/levels</v>
      </c>
    </row>
    <row r="62" customFormat="false" ht="15" hidden="false" customHeight="false" outlineLevel="0" collapsed="false">
      <c r="A62" s="50" t="n">
        <v>0.08</v>
      </c>
      <c r="B62" s="51" t="n">
        <v>0.1</v>
      </c>
      <c r="C62" s="52" t="n">
        <f aca="false">B62*(1+$B$36)</f>
        <v>0.101</v>
      </c>
      <c r="D62" s="38" t="n">
        <v>0.35</v>
      </c>
      <c r="E62" s="39" t="n">
        <f aca="false">$B$56*D62</f>
        <v>404250</v>
      </c>
      <c r="F62" s="53" t="n">
        <f aca="false">ROUNDUP(E62/(1-C62),0)</f>
        <v>449667</v>
      </c>
      <c r="G62" s="39" t="n">
        <f aca="false">F62*C62</f>
        <v>45416.367</v>
      </c>
      <c r="H62" s="54" t="n">
        <v>50000</v>
      </c>
      <c r="I62" s="55" t="str">
        <f aca="false">IF(F62&gt;10*H62,"THIN BOOK — split tenors/levels","OK")</f>
        <v>OK</v>
      </c>
    </row>
    <row r="63" customFormat="false" ht="15" hidden="false" customHeight="false" outlineLevel="0" collapsed="false">
      <c r="A63" s="50" t="n">
        <v>0.11</v>
      </c>
      <c r="B63" s="51" t="n">
        <v>0.05</v>
      </c>
      <c r="C63" s="52" t="n">
        <f aca="false">B63*(1+$B$36)</f>
        <v>0.0505</v>
      </c>
      <c r="D63" s="38" t="n">
        <v>0.25</v>
      </c>
      <c r="E63" s="39" t="n">
        <f aca="false">$B$56*D63</f>
        <v>288750</v>
      </c>
      <c r="F63" s="53" t="n">
        <f aca="false">ROUNDUP(E63/(1-C63),0)</f>
        <v>304108</v>
      </c>
      <c r="G63" s="39" t="n">
        <f aca="false">F63*C63</f>
        <v>15357.454</v>
      </c>
      <c r="H63" s="54" t="n">
        <v>50000</v>
      </c>
      <c r="I63" s="55" t="str">
        <f aca="false">IF(F63&gt;10*H63,"THIN BOOK — split tenors/levels","OK")</f>
        <v>OK</v>
      </c>
    </row>
    <row r="64" customFormat="false" ht="15" hidden="false" customHeight="false" outlineLevel="0" collapsed="false">
      <c r="A64" s="15" t="s">
        <v>153</v>
      </c>
      <c r="D64" s="56" t="n">
        <f aca="false">SUM(D61:D63)</f>
        <v>1</v>
      </c>
      <c r="E64" s="57" t="n">
        <f aca="false">SUM(E61:E63)</f>
        <v>1155000</v>
      </c>
      <c r="F64" s="58" t="n">
        <f aca="false">SUM(F61:F63)</f>
        <v>1347759</v>
      </c>
      <c r="G64" s="57" t="n">
        <f aca="false">SUM(G61:G63)</f>
        <v>192757.0658</v>
      </c>
    </row>
    <row r="65" customFormat="false" ht="15" hidden="false" customHeight="false" outlineLevel="0" collapsed="false">
      <c r="A65" s="59" t="str">
        <f aca="false">IF(AND(ROUND(SUM(D61:D63),4)=1,$B$30&lt;A61,A61&lt;=A62,A62&lt;=A63,ROUND(A63,4)=ROUND($B$29,4)),"Ladder checks: OK (allocations sum to 100%; attach &lt; K1 ≤ K2 ≤ K3 = d)","WARNING — fix the ladder: allocations must sum to 100%; strikes must run shallow → deep; attach a &lt; first strike; deepest strike must equal d")</f>
        <v>Ladder checks: OK (allocations sum to 100%; attach &lt; K1 ≤ K2 ≤ K3 = d)</v>
      </c>
      <c r="B65" s="59"/>
      <c r="C65" s="59"/>
      <c r="D65" s="59"/>
      <c r="E65" s="59"/>
      <c r="F65" s="59"/>
      <c r="G65" s="59"/>
      <c r="H65" s="59"/>
      <c r="I65" s="59"/>
    </row>
    <row r="67" customFormat="false" ht="15" hidden="false" customHeight="false" outlineLevel="0" collapsed="false">
      <c r="A67" s="21" t="s">
        <v>154</v>
      </c>
      <c r="B67" s="21"/>
      <c r="C67" s="21"/>
      <c r="D67" s="21"/>
      <c r="E67" s="21"/>
      <c r="F67" s="21"/>
      <c r="G67" s="21"/>
      <c r="H67" s="21"/>
      <c r="I67" s="21"/>
    </row>
    <row r="68" customFormat="false" ht="15" hidden="false" customHeight="true" outlineLevel="0" collapsed="false">
      <c r="A68" s="19" t="s">
        <v>155</v>
      </c>
      <c r="B68" s="60" t="n">
        <f aca="false">F64</f>
        <v>1347759</v>
      </c>
      <c r="C68" s="23" t="s">
        <v>156</v>
      </c>
      <c r="D68" s="23"/>
      <c r="E68" s="23"/>
      <c r="F68" s="23"/>
      <c r="G68" s="23"/>
      <c r="H68" s="23"/>
      <c r="I68" s="23"/>
    </row>
    <row r="69" customFormat="false" ht="15" hidden="false" customHeight="false" outlineLevel="0" collapsed="false">
      <c r="A69" s="19" t="s">
        <v>157</v>
      </c>
      <c r="B69" s="27" t="n">
        <f aca="false">F64</f>
        <v>1347759</v>
      </c>
    </row>
    <row r="70" customFormat="false" ht="15" hidden="false" customHeight="false" outlineLevel="0" collapsed="false">
      <c r="A70" s="24" t="s">
        <v>158</v>
      </c>
      <c r="B70" s="25" t="n">
        <f aca="false">G64</f>
        <v>192757.0658</v>
      </c>
    </row>
    <row r="71" customFormat="false" ht="15" hidden="false" customHeight="true" outlineLevel="0" collapsed="false">
      <c r="A71" s="19" t="s">
        <v>159</v>
      </c>
      <c r="B71" s="61" t="n">
        <f aca="false">B70/$B$16</f>
        <v>0.00968044725793492</v>
      </c>
      <c r="C71" s="23" t="s">
        <v>160</v>
      </c>
      <c r="D71" s="23"/>
      <c r="E71" s="23"/>
      <c r="F71" s="23"/>
      <c r="G71" s="23"/>
      <c r="H71" s="23"/>
      <c r="I71" s="23"/>
    </row>
    <row r="72" customFormat="false" ht="15" hidden="false" customHeight="true" outlineLevel="0" collapsed="false">
      <c r="A72" s="19" t="s">
        <v>161</v>
      </c>
      <c r="B72" s="61" t="n">
        <f aca="false">B70/$B$53</f>
        <v>0.0114736348690476</v>
      </c>
      <c r="C72" s="23" t="s">
        <v>162</v>
      </c>
      <c r="D72" s="23"/>
      <c r="E72" s="23"/>
      <c r="F72" s="23"/>
      <c r="G72" s="23"/>
      <c r="H72" s="23"/>
      <c r="I72" s="23"/>
    </row>
    <row r="73" customFormat="false" ht="15" hidden="false" customHeight="false" outlineLevel="0" collapsed="false">
      <c r="A73" s="19" t="s">
        <v>163</v>
      </c>
      <c r="B73" s="27" t="n">
        <f aca="false">SUMPRODUCT(($A$61:$A$63&lt;=$B$29)*$F$61:$F$63)</f>
        <v>1347759</v>
      </c>
    </row>
    <row r="74" customFormat="false" ht="15" hidden="false" customHeight="true" outlineLevel="0" collapsed="false">
      <c r="A74" s="24" t="s">
        <v>164</v>
      </c>
      <c r="B74" s="25" t="n">
        <f aca="false">B73-B70</f>
        <v>1155001.9342</v>
      </c>
      <c r="C74" s="23" t="s">
        <v>165</v>
      </c>
      <c r="D74" s="23"/>
      <c r="E74" s="23"/>
      <c r="F74" s="23"/>
      <c r="G74" s="23"/>
      <c r="H74" s="23"/>
      <c r="I74" s="23"/>
    </row>
    <row r="75" customFormat="false" ht="15" hidden="false" customHeight="false" outlineLevel="0" collapsed="false">
      <c r="A75" s="19" t="s">
        <v>166</v>
      </c>
      <c r="B75" s="27" t="n">
        <f aca="false">B53*B55*MAX(B29-B30,0)</f>
        <v>1848000</v>
      </c>
    </row>
    <row r="76" customFormat="false" ht="15" hidden="false" customHeight="true" outlineLevel="0" collapsed="false">
      <c r="A76" s="19" t="s">
        <v>167</v>
      </c>
      <c r="B76" s="27" t="n">
        <f aca="false">B75-B74</f>
        <v>692998.0658</v>
      </c>
      <c r="C76" s="23" t="s">
        <v>168</v>
      </c>
      <c r="D76" s="23"/>
      <c r="E76" s="23"/>
      <c r="F76" s="23"/>
      <c r="G76" s="23"/>
      <c r="H76" s="23"/>
      <c r="I76" s="23"/>
    </row>
    <row r="77" customFormat="false" ht="15" hidden="false" customHeight="false" outlineLevel="0" collapsed="false">
      <c r="A77" s="19" t="s">
        <v>169</v>
      </c>
      <c r="B77" s="62" t="n">
        <f aca="false">B74/MAX(B75,1)</f>
        <v>0.625001046645022</v>
      </c>
    </row>
    <row r="78" customFormat="false" ht="19.5" hidden="false" customHeight="true" outlineLevel="0" collapsed="false">
      <c r="A78" s="24" t="s">
        <v>170</v>
      </c>
      <c r="B78" s="63" t="str">
        <f aca="false">IF($B$48&lt;0.15,"WEAK PROXY HEDGE — HE = "&amp;TEXT($B$48,"0.000")&amp;": a ZHVI hedge removes little of this risk. Consider hedging only the housing-linked slice of the exposure, or not hedging with ZHVI binaries.","OK — HE ≥ 0.15")</f>
        <v>OK — HE ≥ 0.15</v>
      </c>
      <c r="C78" s="63"/>
      <c r="D78" s="63"/>
      <c r="E78" s="63"/>
      <c r="F78" s="63"/>
      <c r="G78" s="63"/>
      <c r="H78" s="63"/>
      <c r="I78" s="63"/>
    </row>
    <row r="79" customFormat="false" ht="15" hidden="false" customHeight="false" outlineLevel="0" collapsed="false">
      <c r="A79" s="24" t="s">
        <v>171</v>
      </c>
      <c r="B79" s="64" t="n">
        <f aca="false">INDEX(Methodology!$B$28:$B$32,MATCH($B$32,Methodology!$A$28:$A$32,0))</f>
        <v>50000</v>
      </c>
      <c r="C79" s="63" t="str">
        <f aca="false">IF($B$56&lt;B79,"Coverage target is below this level's capitalization floor — the book may not exist; move up a level.","OK — coverage ≥ the level floor ($5k zip / $50k city-county / $100k state)")</f>
        <v>OK — coverage ≥ the level floor ($5k zip / $50k city-county / $100k state)</v>
      </c>
      <c r="D79" s="63"/>
      <c r="E79" s="63"/>
      <c r="F79" s="63"/>
      <c r="G79" s="63"/>
      <c r="H79" s="63"/>
      <c r="I79" s="63"/>
    </row>
    <row r="80" customFormat="false" ht="15" hidden="false" customHeight="false" outlineLevel="0" collapsed="false">
      <c r="A80" s="24" t="s">
        <v>172</v>
      </c>
      <c r="B80" s="63" t="str">
        <f aca="false">IF(COUNTIF($I$61:$I$63,"OK")=3,"OK — every strike within 10× resting book depth","THIN BOOK on ≥1 strike — split across tenors/levels, use the county/state book, or stagger entry")</f>
        <v>THIN BOOK on ≥1 strike — split across tenors/levels, use the county/state book, or stagger entry</v>
      </c>
      <c r="C80" s="63"/>
      <c r="D80" s="63"/>
      <c r="E80" s="63"/>
      <c r="F80" s="63"/>
      <c r="G80" s="63"/>
      <c r="H80" s="63"/>
      <c r="I80" s="63"/>
    </row>
    <row r="81" customFormat="false" ht="21.75" hidden="false" customHeight="true" outlineLevel="0" collapsed="false">
      <c r="A81" s="4" t="s">
        <v>228</v>
      </c>
      <c r="B81" s="4"/>
      <c r="C81" s="4"/>
      <c r="D81" s="4"/>
      <c r="E81" s="4"/>
      <c r="F81" s="4"/>
      <c r="G81" s="4"/>
      <c r="H81" s="4"/>
      <c r="I81" s="4"/>
    </row>
    <row r="83" customFormat="false" ht="18" hidden="false" customHeight="true" outlineLevel="0" collapsed="false">
      <c r="A83" s="3" t="s">
        <v>174</v>
      </c>
      <c r="B83" s="3"/>
      <c r="C83" s="3"/>
      <c r="D83" s="3"/>
      <c r="E83" s="3"/>
      <c r="F83" s="3"/>
      <c r="G83" s="3"/>
      <c r="H83" s="3"/>
      <c r="I83" s="3"/>
    </row>
    <row r="84" customFormat="false" ht="15" hidden="false" customHeight="false" outlineLevel="0" collapsed="false">
      <c r="A84" s="21" t="s">
        <v>229</v>
      </c>
      <c r="B84" s="21"/>
      <c r="C84" s="21"/>
      <c r="D84" s="21"/>
      <c r="E84" s="21"/>
      <c r="F84" s="21"/>
      <c r="G84" s="21"/>
      <c r="H84" s="21"/>
      <c r="I84" s="21"/>
    </row>
    <row r="85" customFormat="false" ht="15" hidden="false" customHeight="false" outlineLevel="0" collapsed="false">
      <c r="A85" s="19" t="s">
        <v>230</v>
      </c>
      <c r="B85" s="65" t="n">
        <v>40</v>
      </c>
    </row>
    <row r="86" customFormat="false" ht="15" hidden="false" customHeight="true" outlineLevel="0" collapsed="false">
      <c r="A86" s="19" t="s">
        <v>231</v>
      </c>
      <c r="B86" s="22" t="n">
        <v>560000</v>
      </c>
      <c r="C86" s="23" t="s">
        <v>232</v>
      </c>
      <c r="D86" s="23"/>
      <c r="E86" s="23"/>
      <c r="F86" s="23"/>
      <c r="G86" s="23"/>
      <c r="H86" s="23"/>
      <c r="I86" s="23"/>
    </row>
    <row r="87" customFormat="false" ht="15" hidden="false" customHeight="false" outlineLevel="0" collapsed="false">
      <c r="A87" s="19" t="s">
        <v>233</v>
      </c>
      <c r="B87" s="27" t="n">
        <f aca="false">B85*B86</f>
        <v>22400000</v>
      </c>
    </row>
    <row r="88" customFormat="false" ht="15" hidden="false" customHeight="false" outlineLevel="0" collapsed="false">
      <c r="A88" s="24" t="s">
        <v>234</v>
      </c>
      <c r="B88" s="25" t="n">
        <f aca="false">B87-$B$16</f>
        <v>2488000</v>
      </c>
    </row>
    <row r="89" customFormat="false" ht="15" hidden="false" customHeight="true" outlineLevel="0" collapsed="false">
      <c r="A89" s="19" t="s">
        <v>235</v>
      </c>
      <c r="B89" s="49" t="n">
        <f aca="false">B88/B87</f>
        <v>0.111071428571429</v>
      </c>
      <c r="C89" s="23" t="s">
        <v>236</v>
      </c>
      <c r="D89" s="23"/>
      <c r="E89" s="23"/>
      <c r="F89" s="23"/>
      <c r="G89" s="23"/>
      <c r="H89" s="23"/>
      <c r="I89" s="23"/>
    </row>
    <row r="90" customFormat="false" ht="15" hidden="false" customHeight="false" outlineLevel="0" collapsed="false">
      <c r="A90" s="19" t="s">
        <v>237</v>
      </c>
      <c r="B90" s="27" t="n">
        <f aca="false">B88/B85</f>
        <v>62200</v>
      </c>
    </row>
    <row r="91" customFormat="false" ht="15" hidden="false" customHeight="true" outlineLevel="0" collapsed="false">
      <c r="A91" s="19" t="s">
        <v>238</v>
      </c>
      <c r="B91" s="62" t="n">
        <f aca="false">0.05*B86*B85/B88</f>
        <v>0.45016077170418</v>
      </c>
      <c r="C91" s="23" t="s">
        <v>239</v>
      </c>
      <c r="D91" s="23"/>
      <c r="E91" s="23"/>
      <c r="F91" s="23"/>
      <c r="G91" s="23"/>
      <c r="H91" s="23"/>
      <c r="I91" s="23"/>
    </row>
    <row r="92" customFormat="false" ht="15" hidden="false" customHeight="true" outlineLevel="0" collapsed="false">
      <c r="A92" s="19" t="s">
        <v>240</v>
      </c>
      <c r="B92" s="49" t="n">
        <f aca="false">B89</f>
        <v>0.111071428571429</v>
      </c>
      <c r="C92" s="23" t="s">
        <v>241</v>
      </c>
      <c r="D92" s="23"/>
      <c r="E92" s="23"/>
      <c r="F92" s="23"/>
      <c r="G92" s="23"/>
      <c r="H92" s="23"/>
      <c r="I92" s="23"/>
    </row>
    <row r="93" customFormat="false" ht="15" hidden="false" customHeight="true" outlineLevel="0" collapsed="false">
      <c r="A93" s="19" t="s">
        <v>242</v>
      </c>
      <c r="B93" s="65" t="n">
        <v>30</v>
      </c>
      <c r="C93" s="23" t="s">
        <v>243</v>
      </c>
      <c r="D93" s="23"/>
      <c r="E93" s="23"/>
      <c r="F93" s="23"/>
      <c r="G93" s="23"/>
      <c r="H93" s="23"/>
      <c r="I93" s="23"/>
    </row>
    <row r="94" customFormat="false" ht="15" hidden="false" customHeight="true" outlineLevel="0" collapsed="false">
      <c r="A94" s="24" t="s">
        <v>244</v>
      </c>
      <c r="B94" s="25" t="n">
        <f aca="false">B93*B86</f>
        <v>16800000</v>
      </c>
      <c r="C94" s="23" t="s">
        <v>245</v>
      </c>
      <c r="D94" s="23"/>
      <c r="E94" s="23"/>
      <c r="F94" s="23"/>
      <c r="G94" s="23"/>
      <c r="H94" s="23"/>
      <c r="I94" s="23"/>
    </row>
    <row r="95" customFormat="false" ht="15" hidden="false" customHeight="false" outlineLevel="0" collapsed="false">
      <c r="A95" s="21" t="s">
        <v>246</v>
      </c>
      <c r="B95" s="21"/>
      <c r="C95" s="21"/>
      <c r="D95" s="21"/>
      <c r="E95" s="21"/>
      <c r="F95" s="21"/>
      <c r="G95" s="21"/>
      <c r="H95" s="21"/>
      <c r="I95" s="21"/>
    </row>
    <row r="96" customFormat="false" ht="15" hidden="false" customHeight="true" outlineLevel="0" collapsed="false">
      <c r="A96" s="19" t="s">
        <v>247</v>
      </c>
      <c r="B96" s="22" t="n">
        <v>14800000</v>
      </c>
      <c r="C96" s="23" t="s">
        <v>248</v>
      </c>
      <c r="D96" s="23"/>
      <c r="E96" s="23"/>
      <c r="F96" s="23"/>
      <c r="G96" s="23"/>
      <c r="H96" s="23"/>
      <c r="I96" s="23"/>
    </row>
    <row r="97" customFormat="false" ht="15" hidden="false" customHeight="true" outlineLevel="0" collapsed="false">
      <c r="A97" s="19" t="s">
        <v>249</v>
      </c>
      <c r="B97" s="22" t="n">
        <v>850000</v>
      </c>
      <c r="C97" s="23" t="s">
        <v>250</v>
      </c>
      <c r="D97" s="23"/>
      <c r="E97" s="23"/>
      <c r="F97" s="23"/>
      <c r="G97" s="23"/>
      <c r="H97" s="23"/>
      <c r="I97" s="23"/>
    </row>
    <row r="98" customFormat="false" ht="15" hidden="false" customHeight="true" outlineLevel="0" collapsed="false">
      <c r="A98" s="19" t="s">
        <v>251</v>
      </c>
      <c r="B98" s="61" t="n">
        <f aca="false">B97/B96</f>
        <v>0.0574324324324324</v>
      </c>
      <c r="C98" s="23" t="s">
        <v>252</v>
      </c>
      <c r="D98" s="23"/>
      <c r="E98" s="23"/>
      <c r="F98" s="23"/>
      <c r="G98" s="23"/>
      <c r="H98" s="23"/>
      <c r="I98" s="23"/>
    </row>
    <row r="99" customFormat="false" ht="15" hidden="false" customHeight="true" outlineLevel="0" collapsed="false">
      <c r="A99" s="19" t="s">
        <v>253</v>
      </c>
      <c r="B99" s="66" t="n">
        <v>0.05</v>
      </c>
      <c r="C99" s="23" t="s">
        <v>254</v>
      </c>
      <c r="D99" s="23"/>
      <c r="E99" s="23"/>
      <c r="F99" s="23"/>
      <c r="G99" s="23"/>
      <c r="H99" s="23"/>
      <c r="I99" s="23"/>
    </row>
    <row r="100" customFormat="false" ht="15" hidden="false" customHeight="true" outlineLevel="0" collapsed="false">
      <c r="A100" s="19" t="s">
        <v>255</v>
      </c>
      <c r="B100" s="67" t="n">
        <f aca="false">(B98-B99)*10000</f>
        <v>74.3243243243243</v>
      </c>
      <c r="C100" s="23" t="s">
        <v>256</v>
      </c>
      <c r="D100" s="23"/>
      <c r="E100" s="23"/>
      <c r="F100" s="23"/>
      <c r="G100" s="23"/>
      <c r="H100" s="23"/>
      <c r="I100" s="23"/>
    </row>
    <row r="101" customFormat="false" ht="15" hidden="false" customHeight="false" outlineLevel="0" collapsed="false">
      <c r="A101" s="19" t="s">
        <v>257</v>
      </c>
      <c r="B101" s="26" t="n">
        <v>0.6</v>
      </c>
    </row>
    <row r="102" customFormat="false" ht="15" hidden="false" customHeight="false" outlineLevel="0" collapsed="false">
      <c r="A102" s="19" t="s">
        <v>258</v>
      </c>
      <c r="B102" s="66" t="n">
        <v>0.065</v>
      </c>
    </row>
    <row r="103" customFormat="false" ht="15" hidden="false" customHeight="true" outlineLevel="0" collapsed="false">
      <c r="A103" s="19" t="s">
        <v>259</v>
      </c>
      <c r="B103" s="68" t="n">
        <f aca="false">B97/(B96*B101*B102)</f>
        <v>1.47262647262647</v>
      </c>
      <c r="C103" s="23" t="s">
        <v>260</v>
      </c>
      <c r="D103" s="23"/>
      <c r="E103" s="23"/>
      <c r="F103" s="23"/>
      <c r="G103" s="23"/>
      <c r="H103" s="23"/>
      <c r="I103" s="23"/>
    </row>
    <row r="104" customFormat="false" ht="15" hidden="false" customHeight="true" outlineLevel="0" collapsed="false">
      <c r="A104" s="19" t="s">
        <v>261</v>
      </c>
      <c r="B104" s="61" t="n">
        <f aca="false">B97/(B96*B101)</f>
        <v>0.0957207207207207</v>
      </c>
      <c r="C104" s="23" t="s">
        <v>262</v>
      </c>
      <c r="D104" s="23"/>
      <c r="E104" s="23"/>
      <c r="F104" s="23"/>
      <c r="G104" s="23"/>
      <c r="H104" s="23"/>
      <c r="I104" s="23"/>
    </row>
    <row r="105" customFormat="false" ht="21.75" hidden="false" customHeight="true" outlineLevel="0" collapsed="false">
      <c r="A105" s="4" t="s">
        <v>263</v>
      </c>
      <c r="B105" s="4"/>
      <c r="C105" s="4"/>
      <c r="D105" s="4"/>
      <c r="E105" s="4"/>
      <c r="F105" s="4"/>
      <c r="G105" s="4"/>
      <c r="H105" s="4"/>
      <c r="I105" s="4"/>
    </row>
  </sheetData>
  <mergeCells count="75">
    <mergeCell ref="A1:I1"/>
    <mergeCell ref="A2:I2"/>
    <mergeCell ref="A3:I3"/>
    <mergeCell ref="A5:I5"/>
    <mergeCell ref="A10:I10"/>
    <mergeCell ref="C11:I11"/>
    <mergeCell ref="C12:I12"/>
    <mergeCell ref="C13:I13"/>
    <mergeCell ref="C15:I15"/>
    <mergeCell ref="C16:I16"/>
    <mergeCell ref="A17:I17"/>
    <mergeCell ref="C18:I18"/>
    <mergeCell ref="A21:I21"/>
    <mergeCell ref="C27:I27"/>
    <mergeCell ref="A28:I28"/>
    <mergeCell ref="C29:I29"/>
    <mergeCell ref="C30:I30"/>
    <mergeCell ref="A31:I31"/>
    <mergeCell ref="C32:I32"/>
    <mergeCell ref="C33:I33"/>
    <mergeCell ref="C34:I34"/>
    <mergeCell ref="C35:I35"/>
    <mergeCell ref="C36:I36"/>
    <mergeCell ref="A38:I38"/>
    <mergeCell ref="E39:G39"/>
    <mergeCell ref="H39:I39"/>
    <mergeCell ref="E40:G40"/>
    <mergeCell ref="H40:I40"/>
    <mergeCell ref="E41:G41"/>
    <mergeCell ref="H41:I41"/>
    <mergeCell ref="E42:G42"/>
    <mergeCell ref="H42:I42"/>
    <mergeCell ref="E43:G43"/>
    <mergeCell ref="H43:I43"/>
    <mergeCell ref="A44:I44"/>
    <mergeCell ref="A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6:I56"/>
    <mergeCell ref="C57:I57"/>
    <mergeCell ref="A59:I59"/>
    <mergeCell ref="A65:I65"/>
    <mergeCell ref="A67:I67"/>
    <mergeCell ref="C68:I68"/>
    <mergeCell ref="C71:I71"/>
    <mergeCell ref="C72:I72"/>
    <mergeCell ref="C74:I74"/>
    <mergeCell ref="C76:I76"/>
    <mergeCell ref="B78:I78"/>
    <mergeCell ref="C79:I79"/>
    <mergeCell ref="B80:I80"/>
    <mergeCell ref="A81:I81"/>
    <mergeCell ref="A83:I83"/>
    <mergeCell ref="A84:I84"/>
    <mergeCell ref="C86:I86"/>
    <mergeCell ref="C89:I89"/>
    <mergeCell ref="C91:I91"/>
    <mergeCell ref="C92:I92"/>
    <mergeCell ref="C93:I93"/>
    <mergeCell ref="C94:I94"/>
    <mergeCell ref="A95:I95"/>
    <mergeCell ref="C96:I96"/>
    <mergeCell ref="C97:I97"/>
    <mergeCell ref="C98:I98"/>
    <mergeCell ref="C99:I99"/>
    <mergeCell ref="C100:I100"/>
    <mergeCell ref="C103:I103"/>
    <mergeCell ref="C104:I104"/>
    <mergeCell ref="A105:I105"/>
  </mergeCells>
  <dataValidations count="4">
    <dataValidation allowBlank="false" errorStyle="stop" operator="between" showDropDown="false" showErrorMessage="false" showInputMessage="false" sqref="B27" type="list">
      <formula1>"1. Pre-Dev / Entitlement,2. Construction,3. Lease-Up / Sell-Out,4. Stabilization"</formula1>
      <formula2>0</formula2>
    </dataValidation>
    <dataValidation allowBlank="false" errorStyle="stop" operator="between" showDropDown="false" showErrorMessage="false" showInputMessage="false" sqref="B32" type="list">
      <formula1>"Zip,Neighborhood,City,County,State"</formula1>
      <formula2>0</formula2>
    </dataValidation>
    <dataValidation allowBlank="false" errorStyle="stop" operator="between" showDropDown="false" showErrorMessage="false" showInputMessage="false" sqref="B34" type="list">
      <formula1>"Rates shock,Credit bust"</formula1>
      <formula2>0</formula2>
    </dataValidation>
    <dataValidation allowBlank="false" errorStyle="stop" operator="between" showDropDown="false" showErrorMessage="false" showInputMessage="false" sqref="B35" type="list">
      <formula1>"LOW,BASE,HIGH"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F172A"/>
    <pageSetUpPr fitToPage="false"/>
  </sheetPr>
  <dimension ref="A1:I10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8"/>
    <col collapsed="false" customWidth="true" hidden="false" outlineLevel="0" max="4" min="3" style="0" width="14"/>
    <col collapsed="false" customWidth="true" hidden="false" outlineLevel="0" max="7" min="5" style="0" width="16"/>
    <col collapsed="false" customWidth="true" hidden="false" outlineLevel="0" max="8" min="8" style="0" width="14"/>
    <col collapsed="false" customWidth="true" hidden="false" outlineLevel="0" max="9" min="9" style="0" width="38"/>
  </cols>
  <sheetData>
    <row r="1" customFormat="false" ht="30" hidden="false" customHeight="true" outlineLevel="0" collapsed="false">
      <c r="A1" s="17" t="s">
        <v>264</v>
      </c>
      <c r="B1" s="17"/>
      <c r="C1" s="17"/>
      <c r="D1" s="17"/>
      <c r="E1" s="17"/>
      <c r="F1" s="17"/>
      <c r="G1" s="17"/>
      <c r="H1" s="17"/>
      <c r="I1" s="17"/>
    </row>
    <row r="2" customFormat="false" ht="25.5" hidden="false" customHeight="true" outlineLevel="0" collapsed="false">
      <c r="A2" s="18" t="s">
        <v>265</v>
      </c>
      <c r="B2" s="18"/>
      <c r="C2" s="18"/>
      <c r="D2" s="18"/>
      <c r="E2" s="18"/>
      <c r="F2" s="18"/>
      <c r="G2" s="18"/>
      <c r="H2" s="18"/>
      <c r="I2" s="18"/>
    </row>
    <row r="3" customFormat="false" ht="12" hidden="false" customHeight="true" outlineLevel="0" collapsed="false">
      <c r="A3" s="4" t="s">
        <v>53</v>
      </c>
      <c r="B3" s="4"/>
      <c r="C3" s="4"/>
      <c r="D3" s="4"/>
      <c r="E3" s="4"/>
      <c r="F3" s="4"/>
      <c r="G3" s="4"/>
      <c r="H3" s="4"/>
      <c r="I3" s="4"/>
    </row>
    <row r="5" customFormat="false" ht="18" hidden="false" customHeight="true" outlineLevel="0" collapsed="false">
      <c r="A5" s="3" t="s">
        <v>54</v>
      </c>
      <c r="B5" s="3"/>
      <c r="C5" s="3"/>
      <c r="D5" s="3"/>
      <c r="E5" s="3"/>
      <c r="F5" s="3"/>
      <c r="G5" s="3"/>
      <c r="H5" s="3"/>
      <c r="I5" s="3"/>
    </row>
    <row r="6" customFormat="false" ht="15" hidden="false" customHeight="false" outlineLevel="0" collapsed="false">
      <c r="A6" s="19" t="s">
        <v>55</v>
      </c>
      <c r="B6" s="20" t="s">
        <v>266</v>
      </c>
    </row>
    <row r="7" customFormat="false" ht="15" hidden="false" customHeight="false" outlineLevel="0" collapsed="false">
      <c r="A7" s="19" t="s">
        <v>57</v>
      </c>
      <c r="B7" s="20" t="s">
        <v>267</v>
      </c>
    </row>
    <row r="8" customFormat="false" ht="15" hidden="false" customHeight="false" outlineLevel="0" collapsed="false">
      <c r="A8" s="19" t="s">
        <v>59</v>
      </c>
      <c r="B8" s="20" t="s">
        <v>268</v>
      </c>
    </row>
    <row r="9" customFormat="false" ht="15" hidden="false" customHeight="false" outlineLevel="0" collapsed="false">
      <c r="A9" s="19" t="s">
        <v>61</v>
      </c>
      <c r="B9" s="20" t="s">
        <v>269</v>
      </c>
    </row>
    <row r="10" customFormat="false" ht="15" hidden="false" customHeight="false" outlineLevel="0" collapsed="false">
      <c r="A10" s="21" t="s">
        <v>63</v>
      </c>
      <c r="B10" s="21"/>
      <c r="C10" s="21"/>
      <c r="D10" s="21"/>
      <c r="E10" s="21"/>
      <c r="F10" s="21"/>
      <c r="G10" s="21"/>
      <c r="H10" s="21"/>
      <c r="I10" s="21"/>
    </row>
    <row r="11" customFormat="false" ht="15" hidden="false" customHeight="false" outlineLevel="0" collapsed="false">
      <c r="A11" s="19" t="s">
        <v>64</v>
      </c>
      <c r="B11" s="22" t="n">
        <v>5000000</v>
      </c>
    </row>
    <row r="12" customFormat="false" ht="15" hidden="false" customHeight="false" outlineLevel="0" collapsed="false">
      <c r="A12" s="19" t="s">
        <v>66</v>
      </c>
      <c r="B12" s="22" t="n">
        <v>29000000</v>
      </c>
    </row>
    <row r="13" customFormat="false" ht="15" hidden="false" customHeight="true" outlineLevel="0" collapsed="false">
      <c r="A13" s="19" t="s">
        <v>270</v>
      </c>
      <c r="B13" s="22" t="n">
        <v>10000000</v>
      </c>
      <c r="C13" s="23" t="s">
        <v>271</v>
      </c>
      <c r="D13" s="23"/>
      <c r="E13" s="23"/>
      <c r="F13" s="23"/>
      <c r="G13" s="23"/>
      <c r="H13" s="23"/>
      <c r="I13" s="23"/>
    </row>
    <row r="14" customFormat="false" ht="15" hidden="false" customHeight="false" outlineLevel="0" collapsed="false">
      <c r="A14" s="19" t="s">
        <v>69</v>
      </c>
      <c r="B14" s="22" t="n">
        <v>2500000</v>
      </c>
    </row>
    <row r="15" customFormat="false" ht="15" hidden="false" customHeight="false" outlineLevel="0" collapsed="false">
      <c r="A15" s="19" t="s">
        <v>211</v>
      </c>
      <c r="B15" s="22" t="n">
        <v>1500000</v>
      </c>
    </row>
    <row r="16" customFormat="false" ht="15" hidden="false" customHeight="true" outlineLevel="0" collapsed="false">
      <c r="A16" s="24" t="s">
        <v>72</v>
      </c>
      <c r="B16" s="25" t="n">
        <f aca="false">SUM(B11:B15)</f>
        <v>48000000</v>
      </c>
      <c r="C16" s="23" t="s">
        <v>272</v>
      </c>
      <c r="D16" s="23"/>
      <c r="E16" s="23"/>
      <c r="F16" s="23"/>
      <c r="G16" s="23"/>
      <c r="H16" s="23"/>
      <c r="I16" s="23"/>
    </row>
    <row r="17" customFormat="false" ht="15" hidden="false" customHeight="false" outlineLevel="0" collapsed="false">
      <c r="A17" s="21" t="s">
        <v>74</v>
      </c>
      <c r="B17" s="21"/>
      <c r="C17" s="21"/>
      <c r="D17" s="21"/>
      <c r="E17" s="21"/>
      <c r="F17" s="21"/>
      <c r="G17" s="21"/>
      <c r="H17" s="21"/>
      <c r="I17" s="21"/>
    </row>
    <row r="18" customFormat="false" ht="15" hidden="false" customHeight="true" outlineLevel="0" collapsed="false">
      <c r="A18" s="19" t="s">
        <v>75</v>
      </c>
      <c r="B18" s="26" t="n">
        <v>0.55</v>
      </c>
      <c r="C18" s="23" t="s">
        <v>273</v>
      </c>
      <c r="D18" s="23"/>
      <c r="E18" s="23"/>
      <c r="F18" s="23"/>
      <c r="G18" s="23"/>
      <c r="H18" s="23"/>
      <c r="I18" s="23"/>
    </row>
    <row r="19" customFormat="false" ht="15" hidden="false" customHeight="false" outlineLevel="0" collapsed="false">
      <c r="A19" s="19" t="s">
        <v>77</v>
      </c>
      <c r="B19" s="27" t="n">
        <f aca="false">B16*B18</f>
        <v>26400000</v>
      </c>
    </row>
    <row r="20" customFormat="false" ht="15" hidden="false" customHeight="false" outlineLevel="0" collapsed="false">
      <c r="A20" s="19" t="s">
        <v>78</v>
      </c>
      <c r="B20" s="27" t="n">
        <f aca="false">B16-B19</f>
        <v>21600000</v>
      </c>
    </row>
    <row r="21" customFormat="false" ht="15" hidden="false" customHeight="false" outlineLevel="0" collapsed="false">
      <c r="A21" s="21" t="s">
        <v>80</v>
      </c>
      <c r="B21" s="21"/>
      <c r="C21" s="21"/>
      <c r="D21" s="21"/>
      <c r="E21" s="21"/>
      <c r="F21" s="21"/>
      <c r="G21" s="21"/>
      <c r="H21" s="21"/>
      <c r="I21" s="21"/>
    </row>
    <row r="22" customFormat="false" ht="15" hidden="false" customHeight="false" outlineLevel="0" collapsed="false">
      <c r="A22" s="19" t="s">
        <v>81</v>
      </c>
      <c r="B22" s="28" t="n">
        <v>18</v>
      </c>
    </row>
    <row r="23" customFormat="false" ht="15" hidden="false" customHeight="false" outlineLevel="0" collapsed="false">
      <c r="A23" s="19" t="s">
        <v>82</v>
      </c>
      <c r="B23" s="28" t="n">
        <v>24</v>
      </c>
    </row>
    <row r="24" customFormat="false" ht="15" hidden="false" customHeight="false" outlineLevel="0" collapsed="false">
      <c r="A24" s="19" t="s">
        <v>83</v>
      </c>
      <c r="B24" s="28" t="n">
        <v>24</v>
      </c>
    </row>
    <row r="25" customFormat="false" ht="15" hidden="false" customHeight="false" outlineLevel="0" collapsed="false">
      <c r="A25" s="19" t="s">
        <v>84</v>
      </c>
      <c r="B25" s="28" t="n">
        <v>6</v>
      </c>
    </row>
    <row r="26" customFormat="false" ht="15" hidden="false" customHeight="false" outlineLevel="0" collapsed="false">
      <c r="A26" s="19" t="s">
        <v>85</v>
      </c>
      <c r="B26" s="29" t="n">
        <f aca="false">SUM(B22:B25)</f>
        <v>72</v>
      </c>
    </row>
    <row r="27" customFormat="false" ht="15" hidden="false" customHeight="true" outlineLevel="0" collapsed="false">
      <c r="A27" s="19" t="s">
        <v>86</v>
      </c>
      <c r="B27" s="30" t="s">
        <v>82</v>
      </c>
      <c r="C27" s="23" t="s">
        <v>87</v>
      </c>
      <c r="D27" s="23"/>
      <c r="E27" s="23"/>
      <c r="F27" s="23"/>
      <c r="G27" s="23"/>
      <c r="H27" s="23"/>
      <c r="I27" s="23"/>
    </row>
    <row r="28" customFormat="false" ht="15" hidden="false" customHeight="false" outlineLevel="0" collapsed="false">
      <c r="A28" s="21" t="s">
        <v>88</v>
      </c>
      <c r="B28" s="21"/>
      <c r="C28" s="21"/>
      <c r="D28" s="21"/>
      <c r="E28" s="21"/>
      <c r="F28" s="21"/>
      <c r="G28" s="21"/>
      <c r="H28" s="21"/>
      <c r="I28" s="21"/>
    </row>
    <row r="29" customFormat="false" ht="15" hidden="false" customHeight="true" outlineLevel="0" collapsed="false">
      <c r="A29" s="19" t="s">
        <v>89</v>
      </c>
      <c r="B29" s="31" t="n">
        <v>0.06</v>
      </c>
      <c r="C29" s="23" t="s">
        <v>274</v>
      </c>
      <c r="D29" s="23"/>
      <c r="E29" s="23"/>
      <c r="F29" s="23"/>
      <c r="G29" s="23"/>
      <c r="H29" s="23"/>
      <c r="I29" s="23"/>
    </row>
    <row r="30" customFormat="false" ht="15" hidden="false" customHeight="true" outlineLevel="0" collapsed="false">
      <c r="A30" s="19" t="s">
        <v>91</v>
      </c>
      <c r="B30" s="32" t="n">
        <v>0</v>
      </c>
      <c r="C30" s="23" t="s">
        <v>92</v>
      </c>
      <c r="D30" s="23"/>
      <c r="E30" s="23"/>
      <c r="F30" s="23"/>
      <c r="G30" s="23"/>
      <c r="H30" s="23"/>
      <c r="I30" s="23"/>
    </row>
    <row r="31" customFormat="false" ht="15" hidden="false" customHeight="false" outlineLevel="0" collapsed="false">
      <c r="A31" s="21" t="s">
        <v>93</v>
      </c>
      <c r="B31" s="21"/>
      <c r="C31" s="21"/>
      <c r="D31" s="21"/>
      <c r="E31" s="21"/>
      <c r="F31" s="21"/>
      <c r="G31" s="21"/>
      <c r="H31" s="21"/>
      <c r="I31" s="21"/>
    </row>
    <row r="32" customFormat="false" ht="15" hidden="false" customHeight="true" outlineLevel="0" collapsed="false">
      <c r="A32" s="19" t="s">
        <v>94</v>
      </c>
      <c r="B32" s="20" t="s">
        <v>59</v>
      </c>
      <c r="C32" s="23" t="s">
        <v>95</v>
      </c>
      <c r="D32" s="23"/>
      <c r="E32" s="23"/>
      <c r="F32" s="23"/>
      <c r="G32" s="23"/>
      <c r="H32" s="23"/>
      <c r="I32" s="23"/>
    </row>
    <row r="33" customFormat="false" ht="15" hidden="false" customHeight="true" outlineLevel="0" collapsed="false">
      <c r="A33" s="19" t="s">
        <v>96</v>
      </c>
      <c r="B33" s="33" t="n">
        <v>1</v>
      </c>
      <c r="C33" s="23" t="s">
        <v>97</v>
      </c>
      <c r="D33" s="23"/>
      <c r="E33" s="23"/>
      <c r="F33" s="23"/>
      <c r="G33" s="23"/>
      <c r="H33" s="23"/>
      <c r="I33" s="23"/>
    </row>
    <row r="34" customFormat="false" ht="15" hidden="false" customHeight="true" outlineLevel="0" collapsed="false">
      <c r="A34" s="19" t="s">
        <v>98</v>
      </c>
      <c r="B34" s="20" t="s">
        <v>99</v>
      </c>
      <c r="C34" s="23" t="s">
        <v>100</v>
      </c>
      <c r="D34" s="23"/>
      <c r="E34" s="23"/>
      <c r="F34" s="23"/>
      <c r="G34" s="23"/>
      <c r="H34" s="23"/>
      <c r="I34" s="23"/>
    </row>
    <row r="35" customFormat="false" ht="15" hidden="false" customHeight="true" outlineLevel="0" collapsed="false">
      <c r="A35" s="19" t="s">
        <v>101</v>
      </c>
      <c r="B35" s="20" t="s">
        <v>102</v>
      </c>
      <c r="C35" s="23" t="s">
        <v>103</v>
      </c>
      <c r="D35" s="23"/>
      <c r="E35" s="23"/>
      <c r="F35" s="23"/>
      <c r="G35" s="23"/>
      <c r="H35" s="23"/>
      <c r="I35" s="23"/>
    </row>
    <row r="36" customFormat="false" ht="15" hidden="false" customHeight="true" outlineLevel="0" collapsed="false">
      <c r="A36" s="19" t="s">
        <v>104</v>
      </c>
      <c r="B36" s="32" t="n">
        <v>0.01</v>
      </c>
      <c r="C36" s="23" t="s">
        <v>105</v>
      </c>
      <c r="D36" s="23"/>
      <c r="E36" s="23"/>
      <c r="F36" s="23"/>
      <c r="G36" s="23"/>
      <c r="H36" s="23"/>
      <c r="I36" s="23"/>
    </row>
    <row r="38" customFormat="false" ht="18" hidden="false" customHeight="true" outlineLevel="0" collapsed="false">
      <c r="A38" s="3" t="s">
        <v>106</v>
      </c>
      <c r="B38" s="3"/>
      <c r="C38" s="3"/>
      <c r="D38" s="3"/>
      <c r="E38" s="3"/>
      <c r="F38" s="3"/>
      <c r="G38" s="3"/>
      <c r="H38" s="3"/>
      <c r="I38" s="3"/>
    </row>
    <row r="39" customFormat="false" ht="24" hidden="false" customHeight="true" outlineLevel="0" collapsed="false">
      <c r="A39" s="34" t="s">
        <v>107</v>
      </c>
      <c r="B39" s="34" t="s">
        <v>108</v>
      </c>
      <c r="C39" s="34" t="s">
        <v>109</v>
      </c>
      <c r="D39" s="34" t="s">
        <v>110</v>
      </c>
      <c r="E39" s="35" t="s">
        <v>111</v>
      </c>
      <c r="F39" s="35"/>
      <c r="G39" s="35"/>
      <c r="H39" s="35" t="s">
        <v>112</v>
      </c>
      <c r="I39" s="35"/>
    </row>
    <row r="40" customFormat="false" ht="24" hidden="false" customHeight="true" outlineLevel="0" collapsed="false">
      <c r="A40" s="36" t="s">
        <v>81</v>
      </c>
      <c r="B40" s="37" t="n">
        <f aca="false">B22</f>
        <v>18</v>
      </c>
      <c r="C40" s="38" t="n">
        <v>0.16</v>
      </c>
      <c r="D40" s="39" t="n">
        <f aca="false">C40*$B$16</f>
        <v>7680000</v>
      </c>
      <c r="E40" s="40" t="s">
        <v>275</v>
      </c>
      <c r="F40" s="40"/>
      <c r="G40" s="40"/>
      <c r="H40" s="40" t="s">
        <v>276</v>
      </c>
      <c r="I40" s="40"/>
    </row>
    <row r="41" customFormat="false" ht="24" hidden="false" customHeight="true" outlineLevel="0" collapsed="false">
      <c r="A41" s="36" t="s">
        <v>82</v>
      </c>
      <c r="B41" s="37" t="n">
        <f aca="false">B23</f>
        <v>24</v>
      </c>
      <c r="C41" s="38" t="n">
        <v>0.97</v>
      </c>
      <c r="D41" s="39" t="n">
        <f aca="false">C41*$B$16</f>
        <v>46560000</v>
      </c>
      <c r="E41" s="40" t="s">
        <v>277</v>
      </c>
      <c r="F41" s="40"/>
      <c r="G41" s="40"/>
      <c r="H41" s="40" t="s">
        <v>278</v>
      </c>
      <c r="I41" s="40"/>
    </row>
    <row r="42" customFormat="false" ht="24" hidden="false" customHeight="true" outlineLevel="0" collapsed="false">
      <c r="A42" s="36" t="s">
        <v>83</v>
      </c>
      <c r="B42" s="37" t="n">
        <f aca="false">B24</f>
        <v>24</v>
      </c>
      <c r="C42" s="38" t="n">
        <v>1</v>
      </c>
      <c r="D42" s="39" t="n">
        <f aca="false">C42*$B$16</f>
        <v>48000000</v>
      </c>
      <c r="E42" s="40" t="s">
        <v>279</v>
      </c>
      <c r="F42" s="40"/>
      <c r="G42" s="40"/>
      <c r="H42" s="40" t="s">
        <v>280</v>
      </c>
      <c r="I42" s="40"/>
    </row>
    <row r="43" customFormat="false" ht="24" hidden="false" customHeight="true" outlineLevel="0" collapsed="false">
      <c r="A43" s="36" t="s">
        <v>84</v>
      </c>
      <c r="B43" s="37" t="n">
        <f aca="false">B25</f>
        <v>6</v>
      </c>
      <c r="C43" s="38" t="n">
        <v>1</v>
      </c>
      <c r="D43" s="39" t="n">
        <f aca="false">C43*$B$16</f>
        <v>48000000</v>
      </c>
      <c r="E43" s="40" t="s">
        <v>281</v>
      </c>
      <c r="F43" s="40"/>
      <c r="G43" s="40"/>
      <c r="H43" s="40" t="s">
        <v>282</v>
      </c>
      <c r="I43" s="40"/>
    </row>
    <row r="44" customFormat="false" ht="21.75" hidden="false" customHeight="true" outlineLevel="0" collapsed="false">
      <c r="A44" s="4" t="s">
        <v>121</v>
      </c>
      <c r="B44" s="4"/>
      <c r="C44" s="4"/>
      <c r="D44" s="4"/>
      <c r="E44" s="4"/>
      <c r="F44" s="4"/>
      <c r="G44" s="4"/>
      <c r="H44" s="4"/>
      <c r="I44" s="4"/>
    </row>
    <row r="46" customFormat="false" ht="18" hidden="false" customHeight="true" outlineLevel="0" collapsed="false">
      <c r="A46" s="3" t="s">
        <v>122</v>
      </c>
      <c r="B46" s="3"/>
      <c r="C46" s="3"/>
      <c r="D46" s="3"/>
      <c r="E46" s="3"/>
      <c r="F46" s="3"/>
      <c r="G46" s="3"/>
      <c r="H46" s="3"/>
      <c r="I46" s="3"/>
    </row>
    <row r="47" customFormat="false" ht="15" hidden="false" customHeight="true" outlineLevel="0" collapsed="false">
      <c r="A47" s="19" t="s">
        <v>283</v>
      </c>
      <c r="B47" s="41" t="n">
        <f aca="false">INDEX(Methodology!$B$13:$D$13,MIN(3,IF($B$35="LOW",1,IF($B$35="BASE",2,3))+IF($B$34="Credit bust",1,0)))</f>
        <v>0.4</v>
      </c>
      <c r="C47" s="23" t="s">
        <v>124</v>
      </c>
      <c r="D47" s="23"/>
      <c r="E47" s="23"/>
      <c r="F47" s="23"/>
      <c r="G47" s="23"/>
      <c r="H47" s="23"/>
      <c r="I47" s="23"/>
    </row>
    <row r="48" customFormat="false" ht="15" hidden="false" customHeight="true" outlineLevel="0" collapsed="false">
      <c r="A48" s="19" t="s">
        <v>125</v>
      </c>
      <c r="B48" s="42" t="n">
        <f aca="false">Methodology!$H$13</f>
        <v>0.125</v>
      </c>
      <c r="C48" s="23" t="s">
        <v>126</v>
      </c>
      <c r="D48" s="23"/>
      <c r="E48" s="23"/>
      <c r="F48" s="23"/>
      <c r="G48" s="23"/>
      <c r="H48" s="23"/>
      <c r="I48" s="23"/>
    </row>
    <row r="49" customFormat="false" ht="15" hidden="false" customHeight="true" outlineLevel="0" collapsed="false">
      <c r="A49" s="19" t="s">
        <v>127</v>
      </c>
      <c r="B49" s="43" t="n">
        <f aca="false">Methodology!$I$13</f>
        <v>0.2</v>
      </c>
      <c r="C49" s="23" t="s">
        <v>128</v>
      </c>
      <c r="D49" s="23"/>
      <c r="E49" s="23"/>
      <c r="F49" s="23"/>
      <c r="G49" s="23"/>
      <c r="H49" s="23"/>
      <c r="I49" s="23"/>
    </row>
    <row r="50" customFormat="false" ht="15" hidden="false" customHeight="true" outlineLevel="0" collapsed="false">
      <c r="A50" s="19" t="s">
        <v>129</v>
      </c>
      <c r="B50" s="44" t="n">
        <f aca="false">INDEX(Methodology!$E$20:$E$23,MATCH($B$27,Methodology!$A$20:$A$23,0))</f>
        <v>0.5</v>
      </c>
      <c r="C50" s="23" t="s">
        <v>130</v>
      </c>
      <c r="D50" s="23"/>
      <c r="E50" s="23"/>
      <c r="F50" s="23"/>
      <c r="G50" s="23"/>
      <c r="H50" s="23"/>
      <c r="I50" s="23"/>
    </row>
    <row r="51" customFormat="false" ht="15" hidden="false" customHeight="true" outlineLevel="0" collapsed="false">
      <c r="A51" s="19" t="s">
        <v>131</v>
      </c>
      <c r="B51" s="26"/>
      <c r="C51" s="23" t="s">
        <v>132</v>
      </c>
      <c r="D51" s="23"/>
      <c r="E51" s="23"/>
      <c r="F51" s="23"/>
      <c r="G51" s="23"/>
      <c r="H51" s="23"/>
      <c r="I51" s="23"/>
    </row>
    <row r="52" customFormat="false" ht="15" hidden="false" customHeight="false" outlineLevel="0" collapsed="false">
      <c r="A52" s="24" t="s">
        <v>133</v>
      </c>
      <c r="B52" s="45" t="n">
        <f aca="false">MIN(IF($B$51="",$B$50,$B$51),$B$49)</f>
        <v>0.2</v>
      </c>
      <c r="C52" s="46" t="str">
        <f aca="false">IF(AND($B$51&lt;&gt;"",$B$51&gt;$B$49),"Note: override silently capped at F_max = "&amp;TEXT($B$49,"0%"),"")</f>
        <v/>
      </c>
      <c r="D52" s="46"/>
      <c r="E52" s="46"/>
      <c r="F52" s="46"/>
      <c r="G52" s="46"/>
      <c r="H52" s="46"/>
      <c r="I52" s="46"/>
    </row>
    <row r="53" customFormat="false" ht="15" hidden="false" customHeight="true" outlineLevel="0" collapsed="false">
      <c r="A53" s="19" t="s">
        <v>134</v>
      </c>
      <c r="B53" s="47" t="n">
        <v>48000000</v>
      </c>
      <c r="C53" s="23" t="s">
        <v>284</v>
      </c>
      <c r="D53" s="23"/>
      <c r="E53" s="23"/>
      <c r="F53" s="23"/>
      <c r="G53" s="23"/>
      <c r="H53" s="23"/>
      <c r="I53" s="23"/>
    </row>
    <row r="54" customFormat="false" ht="15" hidden="false" customHeight="true" outlineLevel="0" collapsed="false">
      <c r="A54" s="19" t="s">
        <v>136</v>
      </c>
      <c r="B54" s="27" t="n">
        <f aca="false">INDEX($D$40:$D$43,MATCH($B$27,$A$40:$A$43,0))</f>
        <v>46560000</v>
      </c>
      <c r="C54" s="23" t="s">
        <v>137</v>
      </c>
      <c r="D54" s="23"/>
      <c r="E54" s="23"/>
      <c r="F54" s="23"/>
      <c r="G54" s="23"/>
      <c r="H54" s="23"/>
      <c r="I54" s="23"/>
    </row>
    <row r="55" customFormat="false" ht="15" hidden="false" customHeight="false" outlineLevel="0" collapsed="false">
      <c r="A55" s="19" t="s">
        <v>138</v>
      </c>
      <c r="B55" s="48" t="n">
        <f aca="false">B47*B33</f>
        <v>0.4</v>
      </c>
    </row>
    <row r="56" customFormat="false" ht="15" hidden="false" customHeight="true" outlineLevel="0" collapsed="false">
      <c r="A56" s="24" t="s">
        <v>139</v>
      </c>
      <c r="B56" s="25" t="n">
        <f aca="false">B53*B55*B29*B52</f>
        <v>230400</v>
      </c>
      <c r="C56" s="23" t="s">
        <v>140</v>
      </c>
      <c r="D56" s="23"/>
      <c r="E56" s="23"/>
      <c r="F56" s="23"/>
      <c r="G56" s="23"/>
      <c r="H56" s="23"/>
      <c r="I56" s="23"/>
    </row>
    <row r="57" customFormat="false" ht="15" hidden="false" customHeight="true" outlineLevel="0" collapsed="false">
      <c r="A57" s="19" t="s">
        <v>141</v>
      </c>
      <c r="B57" s="49" t="n">
        <f aca="false">B48*B52</f>
        <v>0.025</v>
      </c>
      <c r="C57" s="23" t="s">
        <v>142</v>
      </c>
      <c r="D57" s="23"/>
      <c r="E57" s="23"/>
      <c r="F57" s="23"/>
      <c r="G57" s="23"/>
      <c r="H57" s="23"/>
      <c r="I57" s="23"/>
    </row>
    <row r="59" customFormat="false" ht="15" hidden="false" customHeight="false" outlineLevel="0" collapsed="false">
      <c r="A59" s="21" t="s">
        <v>143</v>
      </c>
      <c r="B59" s="21"/>
      <c r="C59" s="21"/>
      <c r="D59" s="21"/>
      <c r="E59" s="21"/>
      <c r="F59" s="21"/>
      <c r="G59" s="21"/>
      <c r="H59" s="21"/>
      <c r="I59" s="21"/>
    </row>
    <row r="60" customFormat="false" ht="24" hidden="false" customHeight="true" outlineLevel="0" collapsed="false">
      <c r="A60" s="34" t="s">
        <v>144</v>
      </c>
      <c r="B60" s="34" t="s">
        <v>145</v>
      </c>
      <c r="C60" s="34" t="s">
        <v>146</v>
      </c>
      <c r="D60" s="34" t="s">
        <v>147</v>
      </c>
      <c r="E60" s="34" t="s">
        <v>148</v>
      </c>
      <c r="F60" s="34" t="s">
        <v>149</v>
      </c>
      <c r="G60" s="34" t="s">
        <v>150</v>
      </c>
      <c r="H60" s="34" t="s">
        <v>151</v>
      </c>
      <c r="I60" s="34" t="s">
        <v>152</v>
      </c>
    </row>
    <row r="61" customFormat="false" ht="15" hidden="false" customHeight="false" outlineLevel="0" collapsed="false">
      <c r="A61" s="50" t="n">
        <v>0.02</v>
      </c>
      <c r="B61" s="51" t="n">
        <v>0.18</v>
      </c>
      <c r="C61" s="52" t="n">
        <f aca="false">B61*(1+$B$36)</f>
        <v>0.1818</v>
      </c>
      <c r="D61" s="38" t="n">
        <v>0.4</v>
      </c>
      <c r="E61" s="39" t="n">
        <f aca="false">$B$56*D61</f>
        <v>92160</v>
      </c>
      <c r="F61" s="53" t="n">
        <f aca="false">ROUNDUP(E61/(1-C61),0)</f>
        <v>112638</v>
      </c>
      <c r="G61" s="39" t="n">
        <f aca="false">F61*C61</f>
        <v>20477.5884</v>
      </c>
      <c r="H61" s="54" t="n">
        <v>50000</v>
      </c>
      <c r="I61" s="55" t="str">
        <f aca="false">IF(F61&gt;10*H61,"THIN BOOK — split tenors/levels","OK")</f>
        <v>OK</v>
      </c>
    </row>
    <row r="62" customFormat="false" ht="15" hidden="false" customHeight="false" outlineLevel="0" collapsed="false">
      <c r="A62" s="50" t="n">
        <v>0.04</v>
      </c>
      <c r="B62" s="51" t="n">
        <v>0.11</v>
      </c>
      <c r="C62" s="52" t="n">
        <f aca="false">B62*(1+$B$36)</f>
        <v>0.1111</v>
      </c>
      <c r="D62" s="38" t="n">
        <v>0.35</v>
      </c>
      <c r="E62" s="39" t="n">
        <f aca="false">$B$56*D62</f>
        <v>80640</v>
      </c>
      <c r="F62" s="53" t="n">
        <f aca="false">ROUNDUP(E62/(1-C62),0)</f>
        <v>90719</v>
      </c>
      <c r="G62" s="39" t="n">
        <f aca="false">F62*C62</f>
        <v>10078.8809</v>
      </c>
      <c r="H62" s="54" t="n">
        <v>50000</v>
      </c>
      <c r="I62" s="55" t="str">
        <f aca="false">IF(F62&gt;10*H62,"THIN BOOK — split tenors/levels","OK")</f>
        <v>OK</v>
      </c>
    </row>
    <row r="63" customFormat="false" ht="15" hidden="false" customHeight="false" outlineLevel="0" collapsed="false">
      <c r="A63" s="50" t="n">
        <v>0.06</v>
      </c>
      <c r="B63" s="51" t="n">
        <v>0.06</v>
      </c>
      <c r="C63" s="52" t="n">
        <f aca="false">B63*(1+$B$36)</f>
        <v>0.0606</v>
      </c>
      <c r="D63" s="38" t="n">
        <v>0.25</v>
      </c>
      <c r="E63" s="39" t="n">
        <f aca="false">$B$56*D63</f>
        <v>57600</v>
      </c>
      <c r="F63" s="53" t="n">
        <f aca="false">ROUNDUP(E63/(1-C63),0)</f>
        <v>61316</v>
      </c>
      <c r="G63" s="39" t="n">
        <f aca="false">F63*C63</f>
        <v>3715.7496</v>
      </c>
      <c r="H63" s="54" t="n">
        <v>50000</v>
      </c>
      <c r="I63" s="55" t="str">
        <f aca="false">IF(F63&gt;10*H63,"THIN BOOK — split tenors/levels","OK")</f>
        <v>OK</v>
      </c>
    </row>
    <row r="64" customFormat="false" ht="15" hidden="false" customHeight="false" outlineLevel="0" collapsed="false">
      <c r="A64" s="15" t="s">
        <v>153</v>
      </c>
      <c r="D64" s="56" t="n">
        <f aca="false">SUM(D61:D63)</f>
        <v>1</v>
      </c>
      <c r="E64" s="57" t="n">
        <f aca="false">SUM(E61:E63)</f>
        <v>230400</v>
      </c>
      <c r="F64" s="58" t="n">
        <f aca="false">SUM(F61:F63)</f>
        <v>264673</v>
      </c>
      <c r="G64" s="57" t="n">
        <f aca="false">SUM(G61:G63)</f>
        <v>34272.2189</v>
      </c>
    </row>
    <row r="65" customFormat="false" ht="15" hidden="false" customHeight="false" outlineLevel="0" collapsed="false">
      <c r="A65" s="59" t="str">
        <f aca="false">IF(AND(ROUND(SUM(D61:D63),4)=1,$B$30&lt;A61,A61&lt;=A62,A62&lt;=A63,ROUND(A63,4)=ROUND($B$29,4)),"Ladder checks: OK (allocations sum to 100%; attach &lt; K1 ≤ K2 ≤ K3 = d)","WARNING — fix the ladder: allocations must sum to 100%; strikes must run shallow → deep; attach a &lt; first strike; deepest strike must equal d")</f>
        <v>Ladder checks: OK (allocations sum to 100%; attach &lt; K1 ≤ K2 ≤ K3 = d)</v>
      </c>
      <c r="B65" s="59"/>
      <c r="C65" s="59"/>
      <c r="D65" s="59"/>
      <c r="E65" s="59"/>
      <c r="F65" s="59"/>
      <c r="G65" s="59"/>
      <c r="H65" s="59"/>
      <c r="I65" s="59"/>
    </row>
    <row r="67" customFormat="false" ht="15" hidden="false" customHeight="false" outlineLevel="0" collapsed="false">
      <c r="A67" s="21" t="s">
        <v>154</v>
      </c>
      <c r="B67" s="21"/>
      <c r="C67" s="21"/>
      <c r="D67" s="21"/>
      <c r="E67" s="21"/>
      <c r="F67" s="21"/>
      <c r="G67" s="21"/>
      <c r="H67" s="21"/>
      <c r="I67" s="21"/>
    </row>
    <row r="68" customFormat="false" ht="15" hidden="false" customHeight="true" outlineLevel="0" collapsed="false">
      <c r="A68" s="19" t="s">
        <v>155</v>
      </c>
      <c r="B68" s="60" t="n">
        <f aca="false">F64</f>
        <v>264673</v>
      </c>
      <c r="C68" s="23" t="s">
        <v>156</v>
      </c>
      <c r="D68" s="23"/>
      <c r="E68" s="23"/>
      <c r="F68" s="23"/>
      <c r="G68" s="23"/>
      <c r="H68" s="23"/>
      <c r="I68" s="23"/>
    </row>
    <row r="69" customFormat="false" ht="15" hidden="false" customHeight="false" outlineLevel="0" collapsed="false">
      <c r="A69" s="19" t="s">
        <v>157</v>
      </c>
      <c r="B69" s="27" t="n">
        <f aca="false">F64</f>
        <v>264673</v>
      </c>
    </row>
    <row r="70" customFormat="false" ht="15" hidden="false" customHeight="false" outlineLevel="0" collapsed="false">
      <c r="A70" s="24" t="s">
        <v>158</v>
      </c>
      <c r="B70" s="25" t="n">
        <f aca="false">G64</f>
        <v>34272.2189</v>
      </c>
    </row>
    <row r="71" customFormat="false" ht="15" hidden="false" customHeight="true" outlineLevel="0" collapsed="false">
      <c r="A71" s="19" t="s">
        <v>159</v>
      </c>
      <c r="B71" s="61" t="n">
        <f aca="false">B70/$B$16</f>
        <v>0.000714004560416667</v>
      </c>
      <c r="C71" s="23" t="s">
        <v>160</v>
      </c>
      <c r="D71" s="23"/>
      <c r="E71" s="23"/>
      <c r="F71" s="23"/>
      <c r="G71" s="23"/>
      <c r="H71" s="23"/>
      <c r="I71" s="23"/>
    </row>
    <row r="72" customFormat="false" ht="15" hidden="false" customHeight="true" outlineLevel="0" collapsed="false">
      <c r="A72" s="19" t="s">
        <v>161</v>
      </c>
      <c r="B72" s="61" t="n">
        <f aca="false">B70/$B$53</f>
        <v>0.000714004560416667</v>
      </c>
      <c r="C72" s="23" t="s">
        <v>162</v>
      </c>
      <c r="D72" s="23"/>
      <c r="E72" s="23"/>
      <c r="F72" s="23"/>
      <c r="G72" s="23"/>
      <c r="H72" s="23"/>
      <c r="I72" s="23"/>
    </row>
    <row r="73" customFormat="false" ht="15" hidden="false" customHeight="false" outlineLevel="0" collapsed="false">
      <c r="A73" s="19" t="s">
        <v>163</v>
      </c>
      <c r="B73" s="27" t="n">
        <f aca="false">SUMPRODUCT(($A$61:$A$63&lt;=$B$29)*$F$61:$F$63)</f>
        <v>264673</v>
      </c>
    </row>
    <row r="74" customFormat="false" ht="15" hidden="false" customHeight="true" outlineLevel="0" collapsed="false">
      <c r="A74" s="24" t="s">
        <v>164</v>
      </c>
      <c r="B74" s="25" t="n">
        <f aca="false">B73-B70</f>
        <v>230400.7811</v>
      </c>
      <c r="C74" s="23" t="s">
        <v>165</v>
      </c>
      <c r="D74" s="23"/>
      <c r="E74" s="23"/>
      <c r="F74" s="23"/>
      <c r="G74" s="23"/>
      <c r="H74" s="23"/>
      <c r="I74" s="23"/>
    </row>
    <row r="75" customFormat="false" ht="15" hidden="false" customHeight="false" outlineLevel="0" collapsed="false">
      <c r="A75" s="19" t="s">
        <v>166</v>
      </c>
      <c r="B75" s="27" t="n">
        <f aca="false">B53*B55*MAX(B29-B30,0)</f>
        <v>1152000</v>
      </c>
    </row>
    <row r="76" customFormat="false" ht="15" hidden="false" customHeight="true" outlineLevel="0" collapsed="false">
      <c r="A76" s="19" t="s">
        <v>167</v>
      </c>
      <c r="B76" s="27" t="n">
        <f aca="false">B75-B74</f>
        <v>921599.2189</v>
      </c>
      <c r="C76" s="23" t="s">
        <v>168</v>
      </c>
      <c r="D76" s="23"/>
      <c r="E76" s="23"/>
      <c r="F76" s="23"/>
      <c r="G76" s="23"/>
      <c r="H76" s="23"/>
      <c r="I76" s="23"/>
    </row>
    <row r="77" customFormat="false" ht="15" hidden="false" customHeight="false" outlineLevel="0" collapsed="false">
      <c r="A77" s="19" t="s">
        <v>169</v>
      </c>
      <c r="B77" s="62" t="n">
        <f aca="false">B74/MAX(B75,1)</f>
        <v>0.200000678038194</v>
      </c>
    </row>
    <row r="78" customFormat="false" ht="19.5" hidden="false" customHeight="true" outlineLevel="0" collapsed="false">
      <c r="A78" s="24" t="s">
        <v>170</v>
      </c>
      <c r="B78" s="69" t="str">
        <f aca="false">IF($B$48&lt;0.15,"WEAK PROXY HEDGE — HE = "&amp;TEXT($B$48,"0.000")&amp;": a ZHVI hedge removes little of this risk. Consider hedging only the housing-linked slice of the exposure, or not hedging with ZHVI binaries.","OK — HE ≥ 0.15")</f>
        <v>WEAK PROXY HEDGE — HE = 0.125: a ZHVI hedge removes little of this risk. Consider hedging only the housing-linked slice of the exposure, or not hedging with ZHVI binaries.</v>
      </c>
      <c r="C78" s="69"/>
      <c r="D78" s="69"/>
      <c r="E78" s="69"/>
      <c r="F78" s="69"/>
      <c r="G78" s="69"/>
      <c r="H78" s="69"/>
      <c r="I78" s="69"/>
    </row>
    <row r="79" customFormat="false" ht="15" hidden="false" customHeight="false" outlineLevel="0" collapsed="false">
      <c r="A79" s="24" t="s">
        <v>171</v>
      </c>
      <c r="B79" s="64" t="n">
        <f aca="false">INDEX(Methodology!$B$28:$B$32,MATCH($B$32,Methodology!$A$28:$A$32,0))</f>
        <v>50000</v>
      </c>
      <c r="C79" s="63" t="str">
        <f aca="false">IF($B$56&lt;B79,"Coverage target is below this level's capitalization floor — the book may not exist; move up a level.","OK — coverage ≥ the level floor ($5k zip / $50k city-county / $100k state)")</f>
        <v>OK — coverage ≥ the level floor ($5k zip / $50k city-county / $100k state)</v>
      </c>
      <c r="D79" s="63"/>
      <c r="E79" s="63"/>
      <c r="F79" s="63"/>
      <c r="G79" s="63"/>
      <c r="H79" s="63"/>
      <c r="I79" s="63"/>
    </row>
    <row r="80" customFormat="false" ht="15" hidden="false" customHeight="false" outlineLevel="0" collapsed="false">
      <c r="A80" s="24" t="s">
        <v>172</v>
      </c>
      <c r="B80" s="63" t="str">
        <f aca="false">IF(COUNTIF($I$61:$I$63,"OK")=3,"OK — every strike within 10× resting book depth","THIN BOOK on ≥1 strike — split across tenors/levels, use the county/state book, or stagger entry")</f>
        <v>OK — every strike within 10× resting book depth</v>
      </c>
      <c r="C80" s="63"/>
      <c r="D80" s="63"/>
      <c r="E80" s="63"/>
      <c r="F80" s="63"/>
      <c r="G80" s="63"/>
      <c r="H80" s="63"/>
      <c r="I80" s="63"/>
    </row>
    <row r="81" customFormat="false" ht="21.75" hidden="false" customHeight="true" outlineLevel="0" collapsed="false">
      <c r="A81" s="4" t="s">
        <v>285</v>
      </c>
      <c r="B81" s="4"/>
      <c r="C81" s="4"/>
      <c r="D81" s="4"/>
      <c r="E81" s="4"/>
      <c r="F81" s="4"/>
      <c r="G81" s="4"/>
      <c r="H81" s="4"/>
      <c r="I81" s="4"/>
    </row>
    <row r="83" customFormat="false" ht="18" hidden="false" customHeight="true" outlineLevel="0" collapsed="false">
      <c r="A83" s="3" t="s">
        <v>174</v>
      </c>
      <c r="B83" s="3"/>
      <c r="C83" s="3"/>
      <c r="D83" s="3"/>
      <c r="E83" s="3"/>
      <c r="F83" s="3"/>
      <c r="G83" s="3"/>
      <c r="H83" s="3"/>
      <c r="I83" s="3"/>
    </row>
    <row r="84" customFormat="false" ht="15" hidden="false" customHeight="false" outlineLevel="0" collapsed="false">
      <c r="A84" s="21" t="s">
        <v>286</v>
      </c>
      <c r="B84" s="21"/>
      <c r="C84" s="21"/>
      <c r="D84" s="21"/>
      <c r="E84" s="21"/>
      <c r="F84" s="21"/>
      <c r="G84" s="21"/>
      <c r="H84" s="21"/>
      <c r="I84" s="21"/>
    </row>
    <row r="85" customFormat="false" ht="15" hidden="false" customHeight="false" outlineLevel="0" collapsed="false">
      <c r="A85" s="19" t="s">
        <v>287</v>
      </c>
      <c r="B85" s="65" t="n">
        <v>120000</v>
      </c>
    </row>
    <row r="86" customFormat="false" ht="15" hidden="false" customHeight="false" outlineLevel="0" collapsed="false">
      <c r="A86" s="19" t="s">
        <v>288</v>
      </c>
      <c r="B86" s="70" t="n">
        <v>30</v>
      </c>
    </row>
    <row r="87" customFormat="false" ht="15" hidden="false" customHeight="false" outlineLevel="0" collapsed="false">
      <c r="A87" s="19" t="s">
        <v>289</v>
      </c>
      <c r="B87" s="32" t="n">
        <v>0.92</v>
      </c>
    </row>
    <row r="88" customFormat="false" ht="15" hidden="false" customHeight="false" outlineLevel="0" collapsed="false">
      <c r="A88" s="19" t="s">
        <v>290</v>
      </c>
      <c r="B88" s="22" t="n">
        <v>400000</v>
      </c>
    </row>
    <row r="89" customFormat="false" ht="15" hidden="false" customHeight="false" outlineLevel="0" collapsed="false">
      <c r="A89" s="24" t="s">
        <v>184</v>
      </c>
      <c r="B89" s="25" t="n">
        <f aca="false">B85*B86*B87-B88</f>
        <v>2912000</v>
      </c>
    </row>
    <row r="90" customFormat="false" ht="15" hidden="false" customHeight="false" outlineLevel="0" collapsed="false">
      <c r="A90" s="21" t="s">
        <v>185</v>
      </c>
      <c r="B90" s="21"/>
      <c r="C90" s="21"/>
      <c r="D90" s="21"/>
      <c r="E90" s="21"/>
      <c r="F90" s="21"/>
      <c r="G90" s="21"/>
      <c r="H90" s="21"/>
      <c r="I90" s="21"/>
    </row>
    <row r="91" customFormat="false" ht="15" hidden="false" customHeight="false" outlineLevel="0" collapsed="false">
      <c r="A91" s="19" t="s">
        <v>291</v>
      </c>
      <c r="B91" s="61" t="n">
        <f aca="false">B89/$B$16</f>
        <v>0.0606666666666667</v>
      </c>
    </row>
    <row r="92" customFormat="false" ht="15" hidden="false" customHeight="true" outlineLevel="0" collapsed="false">
      <c r="A92" s="19" t="s">
        <v>188</v>
      </c>
      <c r="B92" s="66" t="n">
        <v>0.0725</v>
      </c>
      <c r="C92" s="23" t="s">
        <v>292</v>
      </c>
      <c r="D92" s="23"/>
      <c r="E92" s="23"/>
      <c r="F92" s="23"/>
      <c r="G92" s="23"/>
      <c r="H92" s="23"/>
      <c r="I92" s="23"/>
    </row>
    <row r="93" customFormat="false" ht="15" hidden="false" customHeight="true" outlineLevel="0" collapsed="false">
      <c r="A93" s="19" t="s">
        <v>190</v>
      </c>
      <c r="B93" s="67" t="n">
        <f aca="false">(B91-B92)*10000</f>
        <v>-118.333333333333</v>
      </c>
      <c r="C93" s="23" t="s">
        <v>293</v>
      </c>
      <c r="D93" s="23"/>
      <c r="E93" s="23"/>
      <c r="F93" s="23"/>
      <c r="G93" s="23"/>
      <c r="H93" s="23"/>
      <c r="I93" s="23"/>
    </row>
    <row r="94" customFormat="false" ht="15" hidden="false" customHeight="true" outlineLevel="0" collapsed="false">
      <c r="A94" s="19" t="s">
        <v>294</v>
      </c>
      <c r="B94" s="26" t="n">
        <v>0.6</v>
      </c>
      <c r="C94" s="23" t="s">
        <v>295</v>
      </c>
      <c r="D94" s="23"/>
      <c r="E94" s="23"/>
      <c r="F94" s="23"/>
      <c r="G94" s="23"/>
      <c r="H94" s="23"/>
      <c r="I94" s="23"/>
    </row>
    <row r="95" customFormat="false" ht="15" hidden="false" customHeight="false" outlineLevel="0" collapsed="false">
      <c r="A95" s="19" t="s">
        <v>296</v>
      </c>
      <c r="B95" s="66" t="n">
        <v>0.065</v>
      </c>
    </row>
    <row r="96" customFormat="false" ht="15" hidden="false" customHeight="false" outlineLevel="0" collapsed="false">
      <c r="A96" s="19" t="s">
        <v>297</v>
      </c>
      <c r="B96" s="27" t="n">
        <f aca="false">$B$19*B95</f>
        <v>1716000</v>
      </c>
    </row>
    <row r="97" customFormat="false" ht="15" hidden="false" customHeight="true" outlineLevel="0" collapsed="false">
      <c r="A97" s="19" t="s">
        <v>298</v>
      </c>
      <c r="B97" s="68" t="n">
        <f aca="false">B89/B96</f>
        <v>1.6969696969697</v>
      </c>
      <c r="C97" s="23" t="s">
        <v>299</v>
      </c>
      <c r="D97" s="23"/>
      <c r="E97" s="23"/>
      <c r="F97" s="23"/>
      <c r="G97" s="23"/>
      <c r="H97" s="23"/>
      <c r="I97" s="23"/>
    </row>
    <row r="98" customFormat="false" ht="15" hidden="false" customHeight="false" outlineLevel="0" collapsed="false">
      <c r="A98" s="19" t="s">
        <v>196</v>
      </c>
      <c r="B98" s="61" t="n">
        <f aca="false">B89/$B$19</f>
        <v>0.11030303030303</v>
      </c>
    </row>
    <row r="99" customFormat="false" ht="15" hidden="false" customHeight="true" outlineLevel="0" collapsed="false">
      <c r="A99" s="19" t="s">
        <v>300</v>
      </c>
      <c r="B99" s="49" t="n">
        <f aca="false">(B88+B96)/(B85*B86)</f>
        <v>0.587777777777778</v>
      </c>
      <c r="C99" s="23" t="s">
        <v>301</v>
      </c>
      <c r="D99" s="23"/>
      <c r="E99" s="23"/>
      <c r="F99" s="23"/>
      <c r="G99" s="23"/>
      <c r="H99" s="23"/>
      <c r="I99" s="23"/>
    </row>
    <row r="100" customFormat="false" ht="30" hidden="false" customHeight="true" outlineLevel="0" collapsed="false">
      <c r="A100" s="4" t="s">
        <v>302</v>
      </c>
      <c r="B100" s="4"/>
      <c r="C100" s="4"/>
      <c r="D100" s="4"/>
      <c r="E100" s="4"/>
      <c r="F100" s="4"/>
      <c r="G100" s="4"/>
      <c r="H100" s="4"/>
      <c r="I100" s="4"/>
    </row>
  </sheetData>
  <mergeCells count="64">
    <mergeCell ref="A1:I1"/>
    <mergeCell ref="A2:I2"/>
    <mergeCell ref="A3:I3"/>
    <mergeCell ref="A5:I5"/>
    <mergeCell ref="A10:I10"/>
    <mergeCell ref="C13:I13"/>
    <mergeCell ref="C16:I16"/>
    <mergeCell ref="A17:I17"/>
    <mergeCell ref="C18:I18"/>
    <mergeCell ref="A21:I21"/>
    <mergeCell ref="C27:I27"/>
    <mergeCell ref="A28:I28"/>
    <mergeCell ref="C29:I29"/>
    <mergeCell ref="C30:I30"/>
    <mergeCell ref="A31:I31"/>
    <mergeCell ref="C32:I32"/>
    <mergeCell ref="C33:I33"/>
    <mergeCell ref="C34:I34"/>
    <mergeCell ref="C35:I35"/>
    <mergeCell ref="C36:I36"/>
    <mergeCell ref="A38:I38"/>
    <mergeCell ref="E39:G39"/>
    <mergeCell ref="H39:I39"/>
    <mergeCell ref="E40:G40"/>
    <mergeCell ref="H40:I40"/>
    <mergeCell ref="E41:G41"/>
    <mergeCell ref="H41:I41"/>
    <mergeCell ref="E42:G42"/>
    <mergeCell ref="H42:I42"/>
    <mergeCell ref="E43:G43"/>
    <mergeCell ref="H43:I43"/>
    <mergeCell ref="A44:I44"/>
    <mergeCell ref="A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6:I56"/>
    <mergeCell ref="C57:I57"/>
    <mergeCell ref="A59:I59"/>
    <mergeCell ref="A65:I65"/>
    <mergeCell ref="A67:I67"/>
    <mergeCell ref="C68:I68"/>
    <mergeCell ref="C71:I71"/>
    <mergeCell ref="C72:I72"/>
    <mergeCell ref="C74:I74"/>
    <mergeCell ref="C76:I76"/>
    <mergeCell ref="B78:I78"/>
    <mergeCell ref="C79:I79"/>
    <mergeCell ref="B80:I80"/>
    <mergeCell ref="A81:I81"/>
    <mergeCell ref="A83:I83"/>
    <mergeCell ref="A84:I84"/>
    <mergeCell ref="A90:I90"/>
    <mergeCell ref="C92:I92"/>
    <mergeCell ref="C93:I93"/>
    <mergeCell ref="C94:I94"/>
    <mergeCell ref="C97:I97"/>
    <mergeCell ref="C99:I99"/>
    <mergeCell ref="A100:I100"/>
  </mergeCells>
  <dataValidations count="4">
    <dataValidation allowBlank="false" errorStyle="stop" operator="between" showDropDown="false" showErrorMessage="false" showInputMessage="false" sqref="B27" type="list">
      <formula1>"1. Pre-Dev / Entitlement,2. Construction,3. Lease-Up / Sell-Out,4. Stabilization"</formula1>
      <formula2>0</formula2>
    </dataValidation>
    <dataValidation allowBlank="false" errorStyle="stop" operator="between" showDropDown="false" showErrorMessage="false" showInputMessage="false" sqref="B32" type="list">
      <formula1>"Zip,Neighborhood,City,County,State"</formula1>
      <formula2>0</formula2>
    </dataValidation>
    <dataValidation allowBlank="false" errorStyle="stop" operator="between" showDropDown="false" showErrorMessage="false" showInputMessage="false" sqref="B34" type="list">
      <formula1>"Rates shock,Credit bust"</formula1>
      <formula2>0</formula2>
    </dataValidation>
    <dataValidation allowBlank="false" errorStyle="stop" operator="between" showDropDown="false" showErrorMessage="false" showInputMessage="false" sqref="B35" type="list">
      <formula1>"LOW,BASE,HIGH"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F172A"/>
    <pageSetUpPr fitToPage="false"/>
  </sheetPr>
  <dimension ref="A1:I10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8"/>
    <col collapsed="false" customWidth="true" hidden="false" outlineLevel="0" max="4" min="3" style="0" width="14"/>
    <col collapsed="false" customWidth="true" hidden="false" outlineLevel="0" max="7" min="5" style="0" width="16"/>
    <col collapsed="false" customWidth="true" hidden="false" outlineLevel="0" max="8" min="8" style="0" width="14"/>
    <col collapsed="false" customWidth="true" hidden="false" outlineLevel="0" max="9" min="9" style="0" width="38"/>
  </cols>
  <sheetData>
    <row r="1" customFormat="false" ht="30" hidden="false" customHeight="true" outlineLevel="0" collapsed="false">
      <c r="A1" s="17" t="s">
        <v>303</v>
      </c>
      <c r="B1" s="17"/>
      <c r="C1" s="17"/>
      <c r="D1" s="17"/>
      <c r="E1" s="17"/>
      <c r="F1" s="17"/>
      <c r="G1" s="17"/>
      <c r="H1" s="17"/>
      <c r="I1" s="17"/>
    </row>
    <row r="2" customFormat="false" ht="25.5" hidden="false" customHeight="true" outlineLevel="0" collapsed="false">
      <c r="A2" s="18" t="s">
        <v>304</v>
      </c>
      <c r="B2" s="18"/>
      <c r="C2" s="18"/>
      <c r="D2" s="18"/>
      <c r="E2" s="18"/>
      <c r="F2" s="18"/>
      <c r="G2" s="18"/>
      <c r="H2" s="18"/>
      <c r="I2" s="18"/>
    </row>
    <row r="3" customFormat="false" ht="12" hidden="false" customHeight="true" outlineLevel="0" collapsed="false">
      <c r="A3" s="4" t="s">
        <v>53</v>
      </c>
      <c r="B3" s="4"/>
      <c r="C3" s="4"/>
      <c r="D3" s="4"/>
      <c r="E3" s="4"/>
      <c r="F3" s="4"/>
      <c r="G3" s="4"/>
      <c r="H3" s="4"/>
      <c r="I3" s="4"/>
    </row>
    <row r="5" customFormat="false" ht="18" hidden="false" customHeight="true" outlineLevel="0" collapsed="false">
      <c r="A5" s="3" t="s">
        <v>54</v>
      </c>
      <c r="B5" s="3"/>
      <c r="C5" s="3"/>
      <c r="D5" s="3"/>
      <c r="E5" s="3"/>
      <c r="F5" s="3"/>
      <c r="G5" s="3"/>
      <c r="H5" s="3"/>
      <c r="I5" s="3"/>
    </row>
    <row r="6" customFormat="false" ht="15" hidden="false" customHeight="false" outlineLevel="0" collapsed="false">
      <c r="A6" s="19" t="s">
        <v>55</v>
      </c>
      <c r="B6" s="20" t="s">
        <v>305</v>
      </c>
    </row>
    <row r="7" customFormat="false" ht="15" hidden="false" customHeight="false" outlineLevel="0" collapsed="false">
      <c r="A7" s="19" t="s">
        <v>57</v>
      </c>
      <c r="B7" s="20" t="s">
        <v>267</v>
      </c>
    </row>
    <row r="8" customFormat="false" ht="15" hidden="false" customHeight="false" outlineLevel="0" collapsed="false">
      <c r="A8" s="19" t="s">
        <v>59</v>
      </c>
      <c r="B8" s="20" t="s">
        <v>306</v>
      </c>
    </row>
    <row r="9" customFormat="false" ht="15" hidden="false" customHeight="false" outlineLevel="0" collapsed="false">
      <c r="A9" s="19" t="s">
        <v>61</v>
      </c>
      <c r="B9" s="20" t="s">
        <v>307</v>
      </c>
    </row>
    <row r="10" customFormat="false" ht="15" hidden="false" customHeight="false" outlineLevel="0" collapsed="false">
      <c r="A10" s="21" t="s">
        <v>63</v>
      </c>
      <c r="B10" s="21"/>
      <c r="C10" s="21"/>
      <c r="D10" s="21"/>
      <c r="E10" s="21"/>
      <c r="F10" s="21"/>
      <c r="G10" s="21"/>
      <c r="H10" s="21"/>
      <c r="I10" s="21"/>
    </row>
    <row r="11" customFormat="false" ht="15" hidden="false" customHeight="true" outlineLevel="0" collapsed="false">
      <c r="A11" s="19" t="s">
        <v>64</v>
      </c>
      <c r="B11" s="22" t="n">
        <v>4500000</v>
      </c>
      <c r="C11" s="23" t="s">
        <v>308</v>
      </c>
      <c r="D11" s="23"/>
      <c r="E11" s="23"/>
      <c r="F11" s="23"/>
      <c r="G11" s="23"/>
      <c r="H11" s="23"/>
      <c r="I11" s="23"/>
    </row>
    <row r="12" customFormat="false" ht="15" hidden="false" customHeight="false" outlineLevel="0" collapsed="false">
      <c r="A12" s="19" t="s">
        <v>66</v>
      </c>
      <c r="B12" s="22" t="n">
        <v>15000000</v>
      </c>
    </row>
    <row r="13" customFormat="false" ht="15" hidden="false" customHeight="true" outlineLevel="0" collapsed="false">
      <c r="A13" s="19" t="s">
        <v>309</v>
      </c>
      <c r="B13" s="22" t="n">
        <v>5000000</v>
      </c>
      <c r="C13" s="23" t="s">
        <v>310</v>
      </c>
      <c r="D13" s="23"/>
      <c r="E13" s="23"/>
      <c r="F13" s="23"/>
      <c r="G13" s="23"/>
      <c r="H13" s="23"/>
      <c r="I13" s="23"/>
    </row>
    <row r="14" customFormat="false" ht="15" hidden="false" customHeight="false" outlineLevel="0" collapsed="false">
      <c r="A14" s="19" t="s">
        <v>69</v>
      </c>
      <c r="B14" s="22" t="n">
        <v>1000000</v>
      </c>
    </row>
    <row r="15" customFormat="false" ht="15" hidden="false" customHeight="false" outlineLevel="0" collapsed="false">
      <c r="A15" s="19" t="s">
        <v>211</v>
      </c>
      <c r="B15" s="22" t="n">
        <v>500000</v>
      </c>
    </row>
    <row r="16" customFormat="false" ht="15" hidden="false" customHeight="true" outlineLevel="0" collapsed="false">
      <c r="A16" s="24" t="s">
        <v>72</v>
      </c>
      <c r="B16" s="25" t="n">
        <f aca="false">SUM(B11:B15)</f>
        <v>26000000</v>
      </c>
      <c r="C16" s="23" t="s">
        <v>311</v>
      </c>
      <c r="D16" s="23"/>
      <c r="E16" s="23"/>
      <c r="F16" s="23"/>
      <c r="G16" s="23"/>
      <c r="H16" s="23"/>
      <c r="I16" s="23"/>
    </row>
    <row r="17" customFormat="false" ht="15" hidden="false" customHeight="false" outlineLevel="0" collapsed="false">
      <c r="A17" s="21" t="s">
        <v>74</v>
      </c>
      <c r="B17" s="21"/>
      <c r="C17" s="21"/>
      <c r="D17" s="21"/>
      <c r="E17" s="21"/>
      <c r="F17" s="21"/>
      <c r="G17" s="21"/>
      <c r="H17" s="21"/>
      <c r="I17" s="21"/>
    </row>
    <row r="18" customFormat="false" ht="15" hidden="false" customHeight="true" outlineLevel="0" collapsed="false">
      <c r="A18" s="19" t="s">
        <v>75</v>
      </c>
      <c r="B18" s="26" t="n">
        <v>0.65</v>
      </c>
      <c r="C18" s="23" t="s">
        <v>312</v>
      </c>
      <c r="D18" s="23"/>
      <c r="E18" s="23"/>
      <c r="F18" s="23"/>
      <c r="G18" s="23"/>
      <c r="H18" s="23"/>
      <c r="I18" s="23"/>
    </row>
    <row r="19" customFormat="false" ht="15" hidden="false" customHeight="false" outlineLevel="0" collapsed="false">
      <c r="A19" s="19" t="s">
        <v>77</v>
      </c>
      <c r="B19" s="27" t="n">
        <f aca="false">B16*B18</f>
        <v>16900000</v>
      </c>
    </row>
    <row r="20" customFormat="false" ht="15" hidden="false" customHeight="false" outlineLevel="0" collapsed="false">
      <c r="A20" s="19" t="s">
        <v>78</v>
      </c>
      <c r="B20" s="27" t="n">
        <f aca="false">B16-B19</f>
        <v>9100000</v>
      </c>
    </row>
    <row r="21" customFormat="false" ht="15" hidden="false" customHeight="false" outlineLevel="0" collapsed="false">
      <c r="A21" s="21" t="s">
        <v>80</v>
      </c>
      <c r="B21" s="21"/>
      <c r="C21" s="21"/>
      <c r="D21" s="21"/>
      <c r="E21" s="21"/>
      <c r="F21" s="21"/>
      <c r="G21" s="21"/>
      <c r="H21" s="21"/>
      <c r="I21" s="21"/>
    </row>
    <row r="22" customFormat="false" ht="15" hidden="false" customHeight="false" outlineLevel="0" collapsed="false">
      <c r="A22" s="19" t="s">
        <v>81</v>
      </c>
      <c r="B22" s="28" t="n">
        <v>12</v>
      </c>
    </row>
    <row r="23" customFormat="false" ht="15" hidden="false" customHeight="false" outlineLevel="0" collapsed="false">
      <c r="A23" s="19" t="s">
        <v>82</v>
      </c>
      <c r="B23" s="28" t="n">
        <v>13</v>
      </c>
    </row>
    <row r="24" customFormat="false" ht="15" hidden="false" customHeight="false" outlineLevel="0" collapsed="false">
      <c r="A24" s="19" t="s">
        <v>83</v>
      </c>
      <c r="B24" s="28" t="n">
        <v>12</v>
      </c>
    </row>
    <row r="25" customFormat="false" ht="15" hidden="false" customHeight="false" outlineLevel="0" collapsed="false">
      <c r="A25" s="19" t="s">
        <v>84</v>
      </c>
      <c r="B25" s="28" t="n">
        <v>6</v>
      </c>
    </row>
    <row r="26" customFormat="false" ht="15" hidden="false" customHeight="false" outlineLevel="0" collapsed="false">
      <c r="A26" s="19" t="s">
        <v>85</v>
      </c>
      <c r="B26" s="29" t="n">
        <f aca="false">SUM(B22:B25)</f>
        <v>43</v>
      </c>
    </row>
    <row r="27" customFormat="false" ht="15" hidden="false" customHeight="true" outlineLevel="0" collapsed="false">
      <c r="A27" s="19" t="s">
        <v>86</v>
      </c>
      <c r="B27" s="30" t="s">
        <v>83</v>
      </c>
      <c r="C27" s="23" t="s">
        <v>87</v>
      </c>
      <c r="D27" s="23"/>
      <c r="E27" s="23"/>
      <c r="F27" s="23"/>
      <c r="G27" s="23"/>
      <c r="H27" s="23"/>
      <c r="I27" s="23"/>
    </row>
    <row r="28" customFormat="false" ht="15" hidden="false" customHeight="false" outlineLevel="0" collapsed="false">
      <c r="A28" s="21" t="s">
        <v>88</v>
      </c>
      <c r="B28" s="21"/>
      <c r="C28" s="21"/>
      <c r="D28" s="21"/>
      <c r="E28" s="21"/>
      <c r="F28" s="21"/>
      <c r="G28" s="21"/>
      <c r="H28" s="21"/>
      <c r="I28" s="21"/>
    </row>
    <row r="29" customFormat="false" ht="15" hidden="false" customHeight="true" outlineLevel="0" collapsed="false">
      <c r="A29" s="19" t="s">
        <v>89</v>
      </c>
      <c r="B29" s="31" t="n">
        <v>0.06</v>
      </c>
      <c r="C29" s="23" t="s">
        <v>313</v>
      </c>
      <c r="D29" s="23"/>
      <c r="E29" s="23"/>
      <c r="F29" s="23"/>
      <c r="G29" s="23"/>
      <c r="H29" s="23"/>
      <c r="I29" s="23"/>
    </row>
    <row r="30" customFormat="false" ht="15" hidden="false" customHeight="true" outlineLevel="0" collapsed="false">
      <c r="A30" s="19" t="s">
        <v>91</v>
      </c>
      <c r="B30" s="32" t="n">
        <v>0</v>
      </c>
      <c r="C30" s="23" t="s">
        <v>92</v>
      </c>
      <c r="D30" s="23"/>
      <c r="E30" s="23"/>
      <c r="F30" s="23"/>
      <c r="G30" s="23"/>
      <c r="H30" s="23"/>
      <c r="I30" s="23"/>
    </row>
    <row r="31" customFormat="false" ht="15" hidden="false" customHeight="false" outlineLevel="0" collapsed="false">
      <c r="A31" s="21" t="s">
        <v>93</v>
      </c>
      <c r="B31" s="21"/>
      <c r="C31" s="21"/>
      <c r="D31" s="21"/>
      <c r="E31" s="21"/>
      <c r="F31" s="21"/>
      <c r="G31" s="21"/>
      <c r="H31" s="21"/>
      <c r="I31" s="21"/>
    </row>
    <row r="32" customFormat="false" ht="15" hidden="false" customHeight="true" outlineLevel="0" collapsed="false">
      <c r="A32" s="19" t="s">
        <v>94</v>
      </c>
      <c r="B32" s="20" t="s">
        <v>59</v>
      </c>
      <c r="C32" s="23" t="s">
        <v>95</v>
      </c>
      <c r="D32" s="23"/>
      <c r="E32" s="23"/>
      <c r="F32" s="23"/>
      <c r="G32" s="23"/>
      <c r="H32" s="23"/>
      <c r="I32" s="23"/>
    </row>
    <row r="33" customFormat="false" ht="15" hidden="false" customHeight="true" outlineLevel="0" collapsed="false">
      <c r="A33" s="19" t="s">
        <v>96</v>
      </c>
      <c r="B33" s="33" t="n">
        <v>1</v>
      </c>
      <c r="C33" s="23" t="s">
        <v>97</v>
      </c>
      <c r="D33" s="23"/>
      <c r="E33" s="23"/>
      <c r="F33" s="23"/>
      <c r="G33" s="23"/>
      <c r="H33" s="23"/>
      <c r="I33" s="23"/>
    </row>
    <row r="34" customFormat="false" ht="15" hidden="false" customHeight="true" outlineLevel="0" collapsed="false">
      <c r="A34" s="19" t="s">
        <v>98</v>
      </c>
      <c r="B34" s="20" t="s">
        <v>99</v>
      </c>
      <c r="C34" s="23" t="s">
        <v>100</v>
      </c>
      <c r="D34" s="23"/>
      <c r="E34" s="23"/>
      <c r="F34" s="23"/>
      <c r="G34" s="23"/>
      <c r="H34" s="23"/>
      <c r="I34" s="23"/>
    </row>
    <row r="35" customFormat="false" ht="15" hidden="false" customHeight="true" outlineLevel="0" collapsed="false">
      <c r="A35" s="19" t="s">
        <v>101</v>
      </c>
      <c r="B35" s="20" t="s">
        <v>102</v>
      </c>
      <c r="C35" s="23" t="s">
        <v>103</v>
      </c>
      <c r="D35" s="23"/>
      <c r="E35" s="23"/>
      <c r="F35" s="23"/>
      <c r="G35" s="23"/>
      <c r="H35" s="23"/>
      <c r="I35" s="23"/>
    </row>
    <row r="36" customFormat="false" ht="15" hidden="false" customHeight="true" outlineLevel="0" collapsed="false">
      <c r="A36" s="19" t="s">
        <v>104</v>
      </c>
      <c r="B36" s="32" t="n">
        <v>0.01</v>
      </c>
      <c r="C36" s="23" t="s">
        <v>105</v>
      </c>
      <c r="D36" s="23"/>
      <c r="E36" s="23"/>
      <c r="F36" s="23"/>
      <c r="G36" s="23"/>
      <c r="H36" s="23"/>
      <c r="I36" s="23"/>
    </row>
    <row r="38" customFormat="false" ht="18" hidden="false" customHeight="true" outlineLevel="0" collapsed="false">
      <c r="A38" s="3" t="s">
        <v>106</v>
      </c>
      <c r="B38" s="3"/>
      <c r="C38" s="3"/>
      <c r="D38" s="3"/>
      <c r="E38" s="3"/>
      <c r="F38" s="3"/>
      <c r="G38" s="3"/>
      <c r="H38" s="3"/>
      <c r="I38" s="3"/>
    </row>
    <row r="39" customFormat="false" ht="24" hidden="false" customHeight="true" outlineLevel="0" collapsed="false">
      <c r="A39" s="34" t="s">
        <v>107</v>
      </c>
      <c r="B39" s="34" t="s">
        <v>108</v>
      </c>
      <c r="C39" s="34" t="s">
        <v>109</v>
      </c>
      <c r="D39" s="34" t="s">
        <v>110</v>
      </c>
      <c r="E39" s="35" t="s">
        <v>111</v>
      </c>
      <c r="F39" s="35"/>
      <c r="G39" s="35"/>
      <c r="H39" s="35" t="s">
        <v>112</v>
      </c>
      <c r="I39" s="35"/>
    </row>
    <row r="40" customFormat="false" ht="24" hidden="false" customHeight="true" outlineLevel="0" collapsed="false">
      <c r="A40" s="36" t="s">
        <v>81</v>
      </c>
      <c r="B40" s="37" t="n">
        <f aca="false">B22</f>
        <v>12</v>
      </c>
      <c r="C40" s="38" t="n">
        <v>0.2</v>
      </c>
      <c r="D40" s="39" t="n">
        <f aca="false">C40*$B$16</f>
        <v>5200000</v>
      </c>
      <c r="E40" s="40" t="s">
        <v>314</v>
      </c>
      <c r="F40" s="40"/>
      <c r="G40" s="40"/>
      <c r="H40" s="40" t="s">
        <v>315</v>
      </c>
      <c r="I40" s="40"/>
    </row>
    <row r="41" customFormat="false" ht="24" hidden="false" customHeight="true" outlineLevel="0" collapsed="false">
      <c r="A41" s="36" t="s">
        <v>82</v>
      </c>
      <c r="B41" s="37" t="n">
        <f aca="false">B23</f>
        <v>13</v>
      </c>
      <c r="C41" s="38" t="n">
        <v>0.97</v>
      </c>
      <c r="D41" s="39" t="n">
        <f aca="false">C41*$B$16</f>
        <v>25220000</v>
      </c>
      <c r="E41" s="40" t="s">
        <v>316</v>
      </c>
      <c r="F41" s="40"/>
      <c r="G41" s="40"/>
      <c r="H41" s="40" t="s">
        <v>317</v>
      </c>
      <c r="I41" s="40"/>
    </row>
    <row r="42" customFormat="false" ht="24" hidden="false" customHeight="true" outlineLevel="0" collapsed="false">
      <c r="A42" s="36" t="s">
        <v>83</v>
      </c>
      <c r="B42" s="37" t="n">
        <f aca="false">B24</f>
        <v>12</v>
      </c>
      <c r="C42" s="38" t="n">
        <v>1</v>
      </c>
      <c r="D42" s="39" t="n">
        <f aca="false">C42*$B$16</f>
        <v>26000000</v>
      </c>
      <c r="E42" s="40" t="s">
        <v>318</v>
      </c>
      <c r="F42" s="40"/>
      <c r="G42" s="40"/>
      <c r="H42" s="40" t="s">
        <v>319</v>
      </c>
      <c r="I42" s="40"/>
    </row>
    <row r="43" customFormat="false" ht="24" hidden="false" customHeight="true" outlineLevel="0" collapsed="false">
      <c r="A43" s="36" t="s">
        <v>84</v>
      </c>
      <c r="B43" s="37" t="n">
        <f aca="false">B25</f>
        <v>6</v>
      </c>
      <c r="C43" s="38" t="n">
        <v>1</v>
      </c>
      <c r="D43" s="39" t="n">
        <f aca="false">C43*$B$16</f>
        <v>26000000</v>
      </c>
      <c r="E43" s="40" t="s">
        <v>320</v>
      </c>
      <c r="F43" s="40"/>
      <c r="G43" s="40"/>
      <c r="H43" s="40" t="s">
        <v>321</v>
      </c>
      <c r="I43" s="40"/>
    </row>
    <row r="44" customFormat="false" ht="21.75" hidden="false" customHeight="true" outlineLevel="0" collapsed="false">
      <c r="A44" s="4" t="s">
        <v>121</v>
      </c>
      <c r="B44" s="4"/>
      <c r="C44" s="4"/>
      <c r="D44" s="4"/>
      <c r="E44" s="4"/>
      <c r="F44" s="4"/>
      <c r="G44" s="4"/>
      <c r="H44" s="4"/>
      <c r="I44" s="4"/>
    </row>
    <row r="46" customFormat="false" ht="18" hidden="false" customHeight="true" outlineLevel="0" collapsed="false">
      <c r="A46" s="3" t="s">
        <v>122</v>
      </c>
      <c r="B46" s="3"/>
      <c r="C46" s="3"/>
      <c r="D46" s="3"/>
      <c r="E46" s="3"/>
      <c r="F46" s="3"/>
      <c r="G46" s="3"/>
      <c r="H46" s="3"/>
      <c r="I46" s="3"/>
    </row>
    <row r="47" customFormat="false" ht="15" hidden="false" customHeight="true" outlineLevel="0" collapsed="false">
      <c r="A47" s="19" t="s">
        <v>322</v>
      </c>
      <c r="B47" s="41" t="n">
        <f aca="false">INDEX(Methodology!$B$12:$D$12,MIN(3,IF($B$35="LOW",1,IF($B$35="BASE",2,3))+IF($B$34="Credit bust",1,0)))</f>
        <v>0.5</v>
      </c>
      <c r="C47" s="23" t="s">
        <v>124</v>
      </c>
      <c r="D47" s="23"/>
      <c r="E47" s="23"/>
      <c r="F47" s="23"/>
      <c r="G47" s="23"/>
      <c r="H47" s="23"/>
      <c r="I47" s="23"/>
    </row>
    <row r="48" customFormat="false" ht="15" hidden="false" customHeight="true" outlineLevel="0" collapsed="false">
      <c r="A48" s="19" t="s">
        <v>125</v>
      </c>
      <c r="B48" s="42" t="n">
        <f aca="false">Methodology!$H$12</f>
        <v>0.175</v>
      </c>
      <c r="C48" s="23" t="s">
        <v>126</v>
      </c>
      <c r="D48" s="23"/>
      <c r="E48" s="23"/>
      <c r="F48" s="23"/>
      <c r="G48" s="23"/>
      <c r="H48" s="23"/>
      <c r="I48" s="23"/>
    </row>
    <row r="49" customFormat="false" ht="15" hidden="false" customHeight="true" outlineLevel="0" collapsed="false">
      <c r="A49" s="19" t="s">
        <v>127</v>
      </c>
      <c r="B49" s="43" t="n">
        <f aca="false">Methodology!$I$12</f>
        <v>0.25</v>
      </c>
      <c r="C49" s="23" t="s">
        <v>128</v>
      </c>
      <c r="D49" s="23"/>
      <c r="E49" s="23"/>
      <c r="F49" s="23"/>
      <c r="G49" s="23"/>
      <c r="H49" s="23"/>
      <c r="I49" s="23"/>
    </row>
    <row r="50" customFormat="false" ht="15" hidden="false" customHeight="true" outlineLevel="0" collapsed="false">
      <c r="A50" s="19" t="s">
        <v>129</v>
      </c>
      <c r="B50" s="44" t="n">
        <f aca="false">INDEX(Methodology!$E$20:$E$23,MATCH($B$27,Methodology!$A$20:$A$23,0))</f>
        <v>0.625</v>
      </c>
      <c r="C50" s="23" t="s">
        <v>130</v>
      </c>
      <c r="D50" s="23"/>
      <c r="E50" s="23"/>
      <c r="F50" s="23"/>
      <c r="G50" s="23"/>
      <c r="H50" s="23"/>
      <c r="I50" s="23"/>
    </row>
    <row r="51" customFormat="false" ht="15" hidden="false" customHeight="true" outlineLevel="0" collapsed="false">
      <c r="A51" s="19" t="s">
        <v>131</v>
      </c>
      <c r="B51" s="26"/>
      <c r="C51" s="23" t="s">
        <v>132</v>
      </c>
      <c r="D51" s="23"/>
      <c r="E51" s="23"/>
      <c r="F51" s="23"/>
      <c r="G51" s="23"/>
      <c r="H51" s="23"/>
      <c r="I51" s="23"/>
    </row>
    <row r="52" customFormat="false" ht="15" hidden="false" customHeight="false" outlineLevel="0" collapsed="false">
      <c r="A52" s="24" t="s">
        <v>133</v>
      </c>
      <c r="B52" s="45" t="n">
        <f aca="false">MIN(IF($B$51="",$B$50,$B$51),$B$49)</f>
        <v>0.25</v>
      </c>
      <c r="C52" s="46" t="str">
        <f aca="false">IF(AND($B$51&lt;&gt;"",$B$51&gt;$B$49),"Note: override silently capped at F_max = "&amp;TEXT($B$49,"0%"),"")</f>
        <v/>
      </c>
      <c r="D52" s="46"/>
      <c r="E52" s="46"/>
      <c r="F52" s="46"/>
      <c r="G52" s="46"/>
      <c r="H52" s="46"/>
      <c r="I52" s="46"/>
    </row>
    <row r="53" customFormat="false" ht="15" hidden="false" customHeight="true" outlineLevel="0" collapsed="false">
      <c r="A53" s="19" t="s">
        <v>134</v>
      </c>
      <c r="B53" s="47" t="n">
        <v>26000000</v>
      </c>
      <c r="C53" s="23" t="s">
        <v>323</v>
      </c>
      <c r="D53" s="23"/>
      <c r="E53" s="23"/>
      <c r="F53" s="23"/>
      <c r="G53" s="23"/>
      <c r="H53" s="23"/>
      <c r="I53" s="23"/>
    </row>
    <row r="54" customFormat="false" ht="15" hidden="false" customHeight="true" outlineLevel="0" collapsed="false">
      <c r="A54" s="19" t="s">
        <v>136</v>
      </c>
      <c r="B54" s="27" t="n">
        <f aca="false">INDEX($D$40:$D$43,MATCH($B$27,$A$40:$A$43,0))</f>
        <v>26000000</v>
      </c>
      <c r="C54" s="23" t="s">
        <v>137</v>
      </c>
      <c r="D54" s="23"/>
      <c r="E54" s="23"/>
      <c r="F54" s="23"/>
      <c r="G54" s="23"/>
      <c r="H54" s="23"/>
      <c r="I54" s="23"/>
    </row>
    <row r="55" customFormat="false" ht="15" hidden="false" customHeight="false" outlineLevel="0" collapsed="false">
      <c r="A55" s="19" t="s">
        <v>138</v>
      </c>
      <c r="B55" s="48" t="n">
        <f aca="false">B47*B33</f>
        <v>0.5</v>
      </c>
    </row>
    <row r="56" customFormat="false" ht="15" hidden="false" customHeight="true" outlineLevel="0" collapsed="false">
      <c r="A56" s="24" t="s">
        <v>139</v>
      </c>
      <c r="B56" s="25" t="n">
        <f aca="false">B53*B55*B29*B52</f>
        <v>195000</v>
      </c>
      <c r="C56" s="23" t="s">
        <v>140</v>
      </c>
      <c r="D56" s="23"/>
      <c r="E56" s="23"/>
      <c r="F56" s="23"/>
      <c r="G56" s="23"/>
      <c r="H56" s="23"/>
      <c r="I56" s="23"/>
    </row>
    <row r="57" customFormat="false" ht="15" hidden="false" customHeight="true" outlineLevel="0" collapsed="false">
      <c r="A57" s="19" t="s">
        <v>141</v>
      </c>
      <c r="B57" s="49" t="n">
        <f aca="false">B48*B52</f>
        <v>0.04375</v>
      </c>
      <c r="C57" s="23" t="s">
        <v>142</v>
      </c>
      <c r="D57" s="23"/>
      <c r="E57" s="23"/>
      <c r="F57" s="23"/>
      <c r="G57" s="23"/>
      <c r="H57" s="23"/>
      <c r="I57" s="23"/>
    </row>
    <row r="59" customFormat="false" ht="15" hidden="false" customHeight="false" outlineLevel="0" collapsed="false">
      <c r="A59" s="21" t="s">
        <v>143</v>
      </c>
      <c r="B59" s="21"/>
      <c r="C59" s="21"/>
      <c r="D59" s="21"/>
      <c r="E59" s="21"/>
      <c r="F59" s="21"/>
      <c r="G59" s="21"/>
      <c r="H59" s="21"/>
      <c r="I59" s="21"/>
    </row>
    <row r="60" customFormat="false" ht="24" hidden="false" customHeight="true" outlineLevel="0" collapsed="false">
      <c r="A60" s="34" t="s">
        <v>144</v>
      </c>
      <c r="B60" s="34" t="s">
        <v>145</v>
      </c>
      <c r="C60" s="34" t="s">
        <v>146</v>
      </c>
      <c r="D60" s="34" t="s">
        <v>147</v>
      </c>
      <c r="E60" s="34" t="s">
        <v>148</v>
      </c>
      <c r="F60" s="34" t="s">
        <v>149</v>
      </c>
      <c r="G60" s="34" t="s">
        <v>150</v>
      </c>
      <c r="H60" s="34" t="s">
        <v>151</v>
      </c>
      <c r="I60" s="34" t="s">
        <v>152</v>
      </c>
    </row>
    <row r="61" customFormat="false" ht="15" hidden="false" customHeight="false" outlineLevel="0" collapsed="false">
      <c r="A61" s="50" t="n">
        <v>0.02</v>
      </c>
      <c r="B61" s="51" t="n">
        <v>0.18</v>
      </c>
      <c r="C61" s="52" t="n">
        <f aca="false">B61*(1+$B$36)</f>
        <v>0.1818</v>
      </c>
      <c r="D61" s="38" t="n">
        <v>0.4</v>
      </c>
      <c r="E61" s="39" t="n">
        <f aca="false">$B$56*D61</f>
        <v>78000</v>
      </c>
      <c r="F61" s="53" t="n">
        <f aca="false">ROUNDUP(E61/(1-C61),0)</f>
        <v>95332</v>
      </c>
      <c r="G61" s="39" t="n">
        <f aca="false">F61*C61</f>
        <v>17331.3576</v>
      </c>
      <c r="H61" s="54" t="n">
        <v>50000</v>
      </c>
      <c r="I61" s="55" t="str">
        <f aca="false">IF(F61&gt;10*H61,"THIN BOOK — split tenors/levels","OK")</f>
        <v>OK</v>
      </c>
    </row>
    <row r="62" customFormat="false" ht="15" hidden="false" customHeight="false" outlineLevel="0" collapsed="false">
      <c r="A62" s="50" t="n">
        <v>0.04</v>
      </c>
      <c r="B62" s="51" t="n">
        <v>0.11</v>
      </c>
      <c r="C62" s="52" t="n">
        <f aca="false">B62*(1+$B$36)</f>
        <v>0.1111</v>
      </c>
      <c r="D62" s="38" t="n">
        <v>0.35</v>
      </c>
      <c r="E62" s="39" t="n">
        <f aca="false">$B$56*D62</f>
        <v>68250</v>
      </c>
      <c r="F62" s="53" t="n">
        <f aca="false">ROUNDUP(E62/(1-C62),0)</f>
        <v>76781</v>
      </c>
      <c r="G62" s="39" t="n">
        <f aca="false">F62*C62</f>
        <v>8530.3691</v>
      </c>
      <c r="H62" s="54" t="n">
        <v>50000</v>
      </c>
      <c r="I62" s="55" t="str">
        <f aca="false">IF(F62&gt;10*H62,"THIN BOOK — split tenors/levels","OK")</f>
        <v>OK</v>
      </c>
    </row>
    <row r="63" customFormat="false" ht="15" hidden="false" customHeight="false" outlineLevel="0" collapsed="false">
      <c r="A63" s="50" t="n">
        <v>0.06</v>
      </c>
      <c r="B63" s="51" t="n">
        <v>0.06</v>
      </c>
      <c r="C63" s="52" t="n">
        <f aca="false">B63*(1+$B$36)</f>
        <v>0.0606</v>
      </c>
      <c r="D63" s="38" t="n">
        <v>0.25</v>
      </c>
      <c r="E63" s="39" t="n">
        <f aca="false">$B$56*D63</f>
        <v>48750</v>
      </c>
      <c r="F63" s="53" t="n">
        <f aca="false">ROUNDUP(E63/(1-C63),0)</f>
        <v>51895</v>
      </c>
      <c r="G63" s="39" t="n">
        <f aca="false">F63*C63</f>
        <v>3144.837</v>
      </c>
      <c r="H63" s="54" t="n">
        <v>50000</v>
      </c>
      <c r="I63" s="55" t="str">
        <f aca="false">IF(F63&gt;10*H63,"THIN BOOK — split tenors/levels","OK")</f>
        <v>OK</v>
      </c>
    </row>
    <row r="64" customFormat="false" ht="15" hidden="false" customHeight="false" outlineLevel="0" collapsed="false">
      <c r="A64" s="15" t="s">
        <v>153</v>
      </c>
      <c r="D64" s="56" t="n">
        <f aca="false">SUM(D61:D63)</f>
        <v>1</v>
      </c>
      <c r="E64" s="57" t="n">
        <f aca="false">SUM(E61:E63)</f>
        <v>195000</v>
      </c>
      <c r="F64" s="58" t="n">
        <f aca="false">SUM(F61:F63)</f>
        <v>224008</v>
      </c>
      <c r="G64" s="57" t="n">
        <f aca="false">SUM(G61:G63)</f>
        <v>29006.5637</v>
      </c>
    </row>
    <row r="65" customFormat="false" ht="15" hidden="false" customHeight="false" outlineLevel="0" collapsed="false">
      <c r="A65" s="59" t="str">
        <f aca="false">IF(AND(ROUND(SUM(D61:D63),4)=1,$B$30&lt;A61,A61&lt;=A62,A62&lt;=A63,ROUND(A63,4)=ROUND($B$29,4)),"Ladder checks: OK (allocations sum to 100%; attach &lt; K1 ≤ K2 ≤ K3 = d)","WARNING — fix the ladder: allocations must sum to 100%; strikes must run shallow → deep; attach a &lt; first strike; deepest strike must equal d")</f>
        <v>Ladder checks: OK (allocations sum to 100%; attach &lt; K1 ≤ K2 ≤ K3 = d)</v>
      </c>
      <c r="B65" s="59"/>
      <c r="C65" s="59"/>
      <c r="D65" s="59"/>
      <c r="E65" s="59"/>
      <c r="F65" s="59"/>
      <c r="G65" s="59"/>
      <c r="H65" s="59"/>
      <c r="I65" s="59"/>
    </row>
    <row r="67" customFormat="false" ht="15" hidden="false" customHeight="false" outlineLevel="0" collapsed="false">
      <c r="A67" s="21" t="s">
        <v>154</v>
      </c>
      <c r="B67" s="21"/>
      <c r="C67" s="21"/>
      <c r="D67" s="21"/>
      <c r="E67" s="21"/>
      <c r="F67" s="21"/>
      <c r="G67" s="21"/>
      <c r="H67" s="21"/>
      <c r="I67" s="21"/>
    </row>
    <row r="68" customFormat="false" ht="15" hidden="false" customHeight="true" outlineLevel="0" collapsed="false">
      <c r="A68" s="19" t="s">
        <v>155</v>
      </c>
      <c r="B68" s="60" t="n">
        <f aca="false">F64</f>
        <v>224008</v>
      </c>
      <c r="C68" s="23" t="s">
        <v>156</v>
      </c>
      <c r="D68" s="23"/>
      <c r="E68" s="23"/>
      <c r="F68" s="23"/>
      <c r="G68" s="23"/>
      <c r="H68" s="23"/>
      <c r="I68" s="23"/>
    </row>
    <row r="69" customFormat="false" ht="15" hidden="false" customHeight="false" outlineLevel="0" collapsed="false">
      <c r="A69" s="19" t="s">
        <v>157</v>
      </c>
      <c r="B69" s="27" t="n">
        <f aca="false">F64</f>
        <v>224008</v>
      </c>
    </row>
    <row r="70" customFormat="false" ht="15" hidden="false" customHeight="false" outlineLevel="0" collapsed="false">
      <c r="A70" s="24" t="s">
        <v>158</v>
      </c>
      <c r="B70" s="25" t="n">
        <f aca="false">G64</f>
        <v>29006.5637</v>
      </c>
    </row>
    <row r="71" customFormat="false" ht="15" hidden="false" customHeight="true" outlineLevel="0" collapsed="false">
      <c r="A71" s="19" t="s">
        <v>159</v>
      </c>
      <c r="B71" s="61" t="n">
        <f aca="false">B70/$B$16</f>
        <v>0.00111563706538462</v>
      </c>
      <c r="C71" s="23" t="s">
        <v>160</v>
      </c>
      <c r="D71" s="23"/>
      <c r="E71" s="23"/>
      <c r="F71" s="23"/>
      <c r="G71" s="23"/>
      <c r="H71" s="23"/>
      <c r="I71" s="23"/>
    </row>
    <row r="72" customFormat="false" ht="15" hidden="false" customHeight="true" outlineLevel="0" collapsed="false">
      <c r="A72" s="19" t="s">
        <v>161</v>
      </c>
      <c r="B72" s="61" t="n">
        <f aca="false">B70/$B$53</f>
        <v>0.00111563706538462</v>
      </c>
      <c r="C72" s="23" t="s">
        <v>162</v>
      </c>
      <c r="D72" s="23"/>
      <c r="E72" s="23"/>
      <c r="F72" s="23"/>
      <c r="G72" s="23"/>
      <c r="H72" s="23"/>
      <c r="I72" s="23"/>
    </row>
    <row r="73" customFormat="false" ht="15" hidden="false" customHeight="false" outlineLevel="0" collapsed="false">
      <c r="A73" s="19" t="s">
        <v>163</v>
      </c>
      <c r="B73" s="27" t="n">
        <f aca="false">SUMPRODUCT(($A$61:$A$63&lt;=$B$29)*$F$61:$F$63)</f>
        <v>224008</v>
      </c>
    </row>
    <row r="74" customFormat="false" ht="15" hidden="false" customHeight="true" outlineLevel="0" collapsed="false">
      <c r="A74" s="24" t="s">
        <v>164</v>
      </c>
      <c r="B74" s="25" t="n">
        <f aca="false">B73-B70</f>
        <v>195001.4363</v>
      </c>
      <c r="C74" s="23" t="s">
        <v>165</v>
      </c>
      <c r="D74" s="23"/>
      <c r="E74" s="23"/>
      <c r="F74" s="23"/>
      <c r="G74" s="23"/>
      <c r="H74" s="23"/>
      <c r="I74" s="23"/>
    </row>
    <row r="75" customFormat="false" ht="15" hidden="false" customHeight="false" outlineLevel="0" collapsed="false">
      <c r="A75" s="19" t="s">
        <v>166</v>
      </c>
      <c r="B75" s="27" t="n">
        <f aca="false">B53*B55*MAX(B29-B30,0)</f>
        <v>780000</v>
      </c>
    </row>
    <row r="76" customFormat="false" ht="15" hidden="false" customHeight="true" outlineLevel="0" collapsed="false">
      <c r="A76" s="19" t="s">
        <v>167</v>
      </c>
      <c r="B76" s="27" t="n">
        <f aca="false">B75-B74</f>
        <v>584998.5637</v>
      </c>
      <c r="C76" s="23" t="s">
        <v>168</v>
      </c>
      <c r="D76" s="23"/>
      <c r="E76" s="23"/>
      <c r="F76" s="23"/>
      <c r="G76" s="23"/>
      <c r="H76" s="23"/>
      <c r="I76" s="23"/>
    </row>
    <row r="77" customFormat="false" ht="15" hidden="false" customHeight="false" outlineLevel="0" collapsed="false">
      <c r="A77" s="19" t="s">
        <v>169</v>
      </c>
      <c r="B77" s="62" t="n">
        <f aca="false">B74/MAX(B75,1)</f>
        <v>0.250001841410256</v>
      </c>
    </row>
    <row r="78" customFormat="false" ht="19.5" hidden="false" customHeight="true" outlineLevel="0" collapsed="false">
      <c r="A78" s="24" t="s">
        <v>170</v>
      </c>
      <c r="B78" s="63" t="str">
        <f aca="false">IF($B$48&lt;0.15,"WEAK PROXY HEDGE — HE = "&amp;TEXT($B$48,"0.000")&amp;": a ZHVI hedge removes little of this risk. Consider hedging only the housing-linked slice of the exposure, or not hedging with ZHVI binaries.","OK — HE ≥ 0.15")</f>
        <v>OK — HE ≥ 0.15</v>
      </c>
      <c r="C78" s="63"/>
      <c r="D78" s="63"/>
      <c r="E78" s="63"/>
      <c r="F78" s="63"/>
      <c r="G78" s="63"/>
      <c r="H78" s="63"/>
      <c r="I78" s="63"/>
    </row>
    <row r="79" customFormat="false" ht="15" hidden="false" customHeight="false" outlineLevel="0" collapsed="false">
      <c r="A79" s="24" t="s">
        <v>171</v>
      </c>
      <c r="B79" s="64" t="n">
        <f aca="false">INDEX(Methodology!$B$28:$B$32,MATCH($B$32,Methodology!$A$28:$A$32,0))</f>
        <v>50000</v>
      </c>
      <c r="C79" s="63" t="str">
        <f aca="false">IF($B$56&lt;B79,"Coverage target is below this level's capitalization floor — the book may not exist; move up a level.","OK — coverage ≥ the level floor ($5k zip / $50k city-county / $100k state)")</f>
        <v>OK — coverage ≥ the level floor ($5k zip / $50k city-county / $100k state)</v>
      </c>
      <c r="D79" s="63"/>
      <c r="E79" s="63"/>
      <c r="F79" s="63"/>
      <c r="G79" s="63"/>
      <c r="H79" s="63"/>
      <c r="I79" s="63"/>
    </row>
    <row r="80" customFormat="false" ht="15" hidden="false" customHeight="false" outlineLevel="0" collapsed="false">
      <c r="A80" s="24" t="s">
        <v>172</v>
      </c>
      <c r="B80" s="63" t="str">
        <f aca="false">IF(COUNTIF($I$61:$I$63,"OK")=3,"OK — every strike within 10× resting book depth","THIN BOOK on ≥1 strike — split across tenors/levels, use the county/state book, or stagger entry")</f>
        <v>OK — every strike within 10× resting book depth</v>
      </c>
      <c r="C80" s="63"/>
      <c r="D80" s="63"/>
      <c r="E80" s="63"/>
      <c r="F80" s="63"/>
      <c r="G80" s="63"/>
      <c r="H80" s="63"/>
      <c r="I80" s="63"/>
    </row>
    <row r="81" customFormat="false" ht="21.75" hidden="false" customHeight="true" outlineLevel="0" collapsed="false">
      <c r="A81" s="4" t="s">
        <v>324</v>
      </c>
      <c r="B81" s="4"/>
      <c r="C81" s="4"/>
      <c r="D81" s="4"/>
      <c r="E81" s="4"/>
      <c r="F81" s="4"/>
      <c r="G81" s="4"/>
      <c r="H81" s="4"/>
      <c r="I81" s="4"/>
    </row>
    <row r="83" customFormat="false" ht="18" hidden="false" customHeight="true" outlineLevel="0" collapsed="false">
      <c r="A83" s="3" t="s">
        <v>174</v>
      </c>
      <c r="B83" s="3"/>
      <c r="C83" s="3"/>
      <c r="D83" s="3"/>
      <c r="E83" s="3"/>
      <c r="F83" s="3"/>
      <c r="G83" s="3"/>
      <c r="H83" s="3"/>
      <c r="I83" s="3"/>
    </row>
    <row r="84" customFormat="false" ht="15" hidden="false" customHeight="false" outlineLevel="0" collapsed="false">
      <c r="A84" s="21" t="s">
        <v>325</v>
      </c>
      <c r="B84" s="21"/>
      <c r="C84" s="21"/>
      <c r="D84" s="21"/>
      <c r="E84" s="21"/>
      <c r="F84" s="21"/>
      <c r="G84" s="21"/>
      <c r="H84" s="21"/>
      <c r="I84" s="21"/>
    </row>
    <row r="85" customFormat="false" ht="15" hidden="false" customHeight="true" outlineLevel="0" collapsed="false">
      <c r="A85" s="19" t="s">
        <v>326</v>
      </c>
      <c r="B85" s="65" t="n">
        <v>55000</v>
      </c>
      <c r="C85" s="23" t="s">
        <v>327</v>
      </c>
      <c r="D85" s="23"/>
      <c r="E85" s="23"/>
      <c r="F85" s="23"/>
      <c r="G85" s="23"/>
      <c r="H85" s="23"/>
      <c r="I85" s="23"/>
    </row>
    <row r="86" customFormat="false" ht="15" hidden="false" customHeight="false" outlineLevel="0" collapsed="false">
      <c r="A86" s="19" t="s">
        <v>328</v>
      </c>
      <c r="B86" s="70" t="n">
        <v>17</v>
      </c>
    </row>
    <row r="87" customFormat="false" ht="15" hidden="false" customHeight="false" outlineLevel="0" collapsed="false">
      <c r="A87" s="19" t="s">
        <v>329</v>
      </c>
      <c r="B87" s="65" t="n">
        <v>30000</v>
      </c>
    </row>
    <row r="88" customFormat="false" ht="15" hidden="false" customHeight="true" outlineLevel="0" collapsed="false">
      <c r="A88" s="19" t="s">
        <v>330</v>
      </c>
      <c r="B88" s="70" t="n">
        <v>36</v>
      </c>
      <c r="C88" s="23" t="s">
        <v>331</v>
      </c>
      <c r="D88" s="23"/>
      <c r="E88" s="23"/>
      <c r="F88" s="23"/>
      <c r="G88" s="23"/>
      <c r="H88" s="23"/>
      <c r="I88" s="23"/>
    </row>
    <row r="89" customFormat="false" ht="15" hidden="false" customHeight="false" outlineLevel="0" collapsed="false">
      <c r="A89" s="19" t="s">
        <v>332</v>
      </c>
      <c r="B89" s="32" t="n">
        <v>0.93</v>
      </c>
    </row>
    <row r="90" customFormat="false" ht="15" hidden="false" customHeight="false" outlineLevel="0" collapsed="false">
      <c r="A90" s="24" t="s">
        <v>184</v>
      </c>
      <c r="B90" s="25" t="n">
        <f aca="false">B85*B86+B87*B88*B89</f>
        <v>1939400</v>
      </c>
    </row>
    <row r="91" customFormat="false" ht="15" hidden="false" customHeight="false" outlineLevel="0" collapsed="false">
      <c r="A91" s="21" t="s">
        <v>185</v>
      </c>
      <c r="B91" s="21"/>
      <c r="C91" s="21"/>
      <c r="D91" s="21"/>
      <c r="E91" s="21"/>
      <c r="F91" s="21"/>
      <c r="G91" s="21"/>
      <c r="H91" s="21"/>
      <c r="I91" s="21"/>
    </row>
    <row r="92" customFormat="false" ht="15" hidden="false" customHeight="false" outlineLevel="0" collapsed="false">
      <c r="A92" s="19" t="s">
        <v>291</v>
      </c>
      <c r="B92" s="61" t="n">
        <f aca="false">B90/$B$16</f>
        <v>0.0745923076923077</v>
      </c>
    </row>
    <row r="93" customFormat="false" ht="15" hidden="false" customHeight="true" outlineLevel="0" collapsed="false">
      <c r="A93" s="19" t="s">
        <v>188</v>
      </c>
      <c r="B93" s="66" t="n">
        <v>0.05875</v>
      </c>
      <c r="C93" s="23" t="s">
        <v>333</v>
      </c>
      <c r="D93" s="23"/>
      <c r="E93" s="23"/>
      <c r="F93" s="23"/>
      <c r="G93" s="23"/>
      <c r="H93" s="23"/>
      <c r="I93" s="23"/>
    </row>
    <row r="94" customFormat="false" ht="15" hidden="false" customHeight="true" outlineLevel="0" collapsed="false">
      <c r="A94" s="19" t="s">
        <v>190</v>
      </c>
      <c r="B94" s="67" t="n">
        <f aca="false">(B92-B93)*10000</f>
        <v>158.423076923077</v>
      </c>
      <c r="C94" s="23" t="s">
        <v>334</v>
      </c>
      <c r="D94" s="23"/>
      <c r="E94" s="23"/>
      <c r="F94" s="23"/>
      <c r="G94" s="23"/>
      <c r="H94" s="23"/>
      <c r="I94" s="23"/>
    </row>
    <row r="95" customFormat="false" ht="15" hidden="false" customHeight="false" outlineLevel="0" collapsed="false">
      <c r="A95" s="19" t="s">
        <v>296</v>
      </c>
      <c r="B95" s="66" t="n">
        <v>0.065</v>
      </c>
    </row>
    <row r="96" customFormat="false" ht="15" hidden="false" customHeight="false" outlineLevel="0" collapsed="false">
      <c r="A96" s="19" t="s">
        <v>297</v>
      </c>
      <c r="B96" s="27" t="n">
        <f aca="false">$B$19*B95</f>
        <v>1098500</v>
      </c>
    </row>
    <row r="97" customFormat="false" ht="15" hidden="false" customHeight="true" outlineLevel="0" collapsed="false">
      <c r="A97" s="19" t="s">
        <v>298</v>
      </c>
      <c r="B97" s="68" t="n">
        <f aca="false">B90/B96</f>
        <v>1.76549840691853</v>
      </c>
      <c r="C97" s="23" t="s">
        <v>335</v>
      </c>
      <c r="D97" s="23"/>
      <c r="E97" s="23"/>
      <c r="F97" s="23"/>
      <c r="G97" s="23"/>
      <c r="H97" s="23"/>
      <c r="I97" s="23"/>
    </row>
    <row r="98" customFormat="false" ht="15" hidden="false" customHeight="true" outlineLevel="0" collapsed="false">
      <c r="A98" s="19" t="s">
        <v>196</v>
      </c>
      <c r="B98" s="61" t="n">
        <f aca="false">B90/$B$19</f>
        <v>0.114757396449704</v>
      </c>
      <c r="C98" s="23" t="s">
        <v>336</v>
      </c>
      <c r="D98" s="23"/>
      <c r="E98" s="23"/>
      <c r="F98" s="23"/>
      <c r="G98" s="23"/>
      <c r="H98" s="23"/>
      <c r="I98" s="23"/>
    </row>
    <row r="99" customFormat="false" ht="15" hidden="false" customHeight="true" outlineLevel="0" collapsed="false">
      <c r="A99" s="19" t="s">
        <v>337</v>
      </c>
      <c r="B99" s="61" t="n">
        <f aca="false">(B85*B86+B87*B88*0.85*B89)/$B$16</f>
        <v>0.0687976923076923</v>
      </c>
      <c r="C99" s="23" t="s">
        <v>338</v>
      </c>
      <c r="D99" s="23"/>
      <c r="E99" s="23"/>
      <c r="F99" s="23"/>
      <c r="G99" s="23"/>
      <c r="H99" s="23"/>
      <c r="I99" s="23"/>
    </row>
    <row r="100" customFormat="false" ht="30" hidden="false" customHeight="true" outlineLevel="0" collapsed="false">
      <c r="A100" s="4" t="s">
        <v>339</v>
      </c>
      <c r="B100" s="4"/>
      <c r="C100" s="4"/>
      <c r="D100" s="4"/>
      <c r="E100" s="4"/>
      <c r="F100" s="4"/>
      <c r="G100" s="4"/>
      <c r="H100" s="4"/>
      <c r="I100" s="4"/>
    </row>
  </sheetData>
  <mergeCells count="67">
    <mergeCell ref="A1:I1"/>
    <mergeCell ref="A2:I2"/>
    <mergeCell ref="A3:I3"/>
    <mergeCell ref="A5:I5"/>
    <mergeCell ref="A10:I10"/>
    <mergeCell ref="C11:I11"/>
    <mergeCell ref="C13:I13"/>
    <mergeCell ref="C16:I16"/>
    <mergeCell ref="A17:I17"/>
    <mergeCell ref="C18:I18"/>
    <mergeCell ref="A21:I21"/>
    <mergeCell ref="C27:I27"/>
    <mergeCell ref="A28:I28"/>
    <mergeCell ref="C29:I29"/>
    <mergeCell ref="C30:I30"/>
    <mergeCell ref="A31:I31"/>
    <mergeCell ref="C32:I32"/>
    <mergeCell ref="C33:I33"/>
    <mergeCell ref="C34:I34"/>
    <mergeCell ref="C35:I35"/>
    <mergeCell ref="C36:I36"/>
    <mergeCell ref="A38:I38"/>
    <mergeCell ref="E39:G39"/>
    <mergeCell ref="H39:I39"/>
    <mergeCell ref="E40:G40"/>
    <mergeCell ref="H40:I40"/>
    <mergeCell ref="E41:G41"/>
    <mergeCell ref="H41:I41"/>
    <mergeCell ref="E42:G42"/>
    <mergeCell ref="H42:I42"/>
    <mergeCell ref="E43:G43"/>
    <mergeCell ref="H43:I43"/>
    <mergeCell ref="A44:I44"/>
    <mergeCell ref="A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6:I56"/>
    <mergeCell ref="C57:I57"/>
    <mergeCell ref="A59:I59"/>
    <mergeCell ref="A65:I65"/>
    <mergeCell ref="A67:I67"/>
    <mergeCell ref="C68:I68"/>
    <mergeCell ref="C71:I71"/>
    <mergeCell ref="C72:I72"/>
    <mergeCell ref="C74:I74"/>
    <mergeCell ref="C76:I76"/>
    <mergeCell ref="B78:I78"/>
    <mergeCell ref="C79:I79"/>
    <mergeCell ref="B80:I80"/>
    <mergeCell ref="A81:I81"/>
    <mergeCell ref="A83:I83"/>
    <mergeCell ref="A84:I84"/>
    <mergeCell ref="C85:I85"/>
    <mergeCell ref="C88:I88"/>
    <mergeCell ref="A91:I91"/>
    <mergeCell ref="C93:I93"/>
    <mergeCell ref="C94:I94"/>
    <mergeCell ref="C97:I97"/>
    <mergeCell ref="C98:I98"/>
    <mergeCell ref="C99:I99"/>
    <mergeCell ref="A100:I100"/>
  </mergeCells>
  <dataValidations count="4">
    <dataValidation allowBlank="false" errorStyle="stop" operator="between" showDropDown="false" showErrorMessage="false" showInputMessage="false" sqref="B27" type="list">
      <formula1>"1. Pre-Dev / Entitlement,2. Construction,3. Lease-Up / Sell-Out,4. Stabilization"</formula1>
      <formula2>0</formula2>
    </dataValidation>
    <dataValidation allowBlank="false" errorStyle="stop" operator="between" showDropDown="false" showErrorMessage="false" showInputMessage="false" sqref="B32" type="list">
      <formula1>"Zip,Neighborhood,City,County,State"</formula1>
      <formula2>0</formula2>
    </dataValidation>
    <dataValidation allowBlank="false" errorStyle="stop" operator="between" showDropDown="false" showErrorMessage="false" showInputMessage="false" sqref="B34" type="list">
      <formula1>"Rates shock,Credit bust"</formula1>
      <formula2>0</formula2>
    </dataValidation>
    <dataValidation allowBlank="false" errorStyle="stop" operator="between" showDropDown="false" showErrorMessage="false" showInputMessage="false" sqref="B35" type="list">
      <formula1>"LOW,BASE,HIGH"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F172A"/>
    <pageSetUpPr fitToPage="false"/>
  </sheetPr>
  <dimension ref="A1:I9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8"/>
    <col collapsed="false" customWidth="true" hidden="false" outlineLevel="0" max="4" min="3" style="0" width="14"/>
    <col collapsed="false" customWidth="true" hidden="false" outlineLevel="0" max="7" min="5" style="0" width="16"/>
    <col collapsed="false" customWidth="true" hidden="false" outlineLevel="0" max="8" min="8" style="0" width="14"/>
    <col collapsed="false" customWidth="true" hidden="false" outlineLevel="0" max="9" min="9" style="0" width="38"/>
  </cols>
  <sheetData>
    <row r="1" customFormat="false" ht="30" hidden="false" customHeight="true" outlineLevel="0" collapsed="false">
      <c r="A1" s="17" t="s">
        <v>340</v>
      </c>
      <c r="B1" s="17"/>
      <c r="C1" s="17"/>
      <c r="D1" s="17"/>
      <c r="E1" s="17"/>
      <c r="F1" s="17"/>
      <c r="G1" s="17"/>
      <c r="H1" s="17"/>
      <c r="I1" s="17"/>
    </row>
    <row r="2" customFormat="false" ht="25.5" hidden="false" customHeight="true" outlineLevel="0" collapsed="false">
      <c r="A2" s="18" t="s">
        <v>341</v>
      </c>
      <c r="B2" s="18"/>
      <c r="C2" s="18"/>
      <c r="D2" s="18"/>
      <c r="E2" s="18"/>
      <c r="F2" s="18"/>
      <c r="G2" s="18"/>
      <c r="H2" s="18"/>
      <c r="I2" s="18"/>
    </row>
    <row r="3" customFormat="false" ht="12" hidden="false" customHeight="true" outlineLevel="0" collapsed="false">
      <c r="A3" s="4" t="s">
        <v>53</v>
      </c>
      <c r="B3" s="4"/>
      <c r="C3" s="4"/>
      <c r="D3" s="4"/>
      <c r="E3" s="4"/>
      <c r="F3" s="4"/>
      <c r="G3" s="4"/>
      <c r="H3" s="4"/>
      <c r="I3" s="4"/>
    </row>
    <row r="5" customFormat="false" ht="18" hidden="false" customHeight="true" outlineLevel="0" collapsed="false">
      <c r="A5" s="3" t="s">
        <v>54</v>
      </c>
      <c r="B5" s="3"/>
      <c r="C5" s="3"/>
      <c r="D5" s="3"/>
      <c r="E5" s="3"/>
      <c r="F5" s="3"/>
      <c r="G5" s="3"/>
      <c r="H5" s="3"/>
      <c r="I5" s="3"/>
    </row>
    <row r="6" customFormat="false" ht="15" hidden="false" customHeight="false" outlineLevel="0" collapsed="false">
      <c r="A6" s="19" t="s">
        <v>55</v>
      </c>
      <c r="B6" s="20" t="s">
        <v>342</v>
      </c>
    </row>
    <row r="7" customFormat="false" ht="15" hidden="false" customHeight="false" outlineLevel="0" collapsed="false">
      <c r="A7" s="19" t="s">
        <v>57</v>
      </c>
      <c r="B7" s="20" t="s">
        <v>204</v>
      </c>
    </row>
    <row r="8" customFormat="false" ht="15" hidden="false" customHeight="false" outlineLevel="0" collapsed="false">
      <c r="A8" s="19" t="s">
        <v>59</v>
      </c>
      <c r="B8" s="20" t="s">
        <v>343</v>
      </c>
    </row>
    <row r="9" customFormat="false" ht="15" hidden="false" customHeight="false" outlineLevel="0" collapsed="false">
      <c r="A9" s="19" t="s">
        <v>61</v>
      </c>
      <c r="B9" s="20" t="s">
        <v>344</v>
      </c>
    </row>
    <row r="10" customFormat="false" ht="15" hidden="false" customHeight="false" outlineLevel="0" collapsed="false">
      <c r="A10" s="21" t="s">
        <v>63</v>
      </c>
      <c r="B10" s="21"/>
      <c r="C10" s="21"/>
      <c r="D10" s="21"/>
      <c r="E10" s="21"/>
      <c r="F10" s="21"/>
      <c r="G10" s="21"/>
      <c r="H10" s="21"/>
      <c r="I10" s="21"/>
    </row>
    <row r="11" customFormat="false" ht="15" hidden="false" customHeight="false" outlineLevel="0" collapsed="false">
      <c r="A11" s="19" t="s">
        <v>64</v>
      </c>
      <c r="B11" s="22" t="n">
        <v>3600000</v>
      </c>
    </row>
    <row r="12" customFormat="false" ht="15" hidden="false" customHeight="false" outlineLevel="0" collapsed="false">
      <c r="A12" s="19" t="s">
        <v>345</v>
      </c>
      <c r="B12" s="22" t="n">
        <v>9300000</v>
      </c>
    </row>
    <row r="13" customFormat="false" ht="15" hidden="false" customHeight="true" outlineLevel="0" collapsed="false">
      <c r="A13" s="19" t="s">
        <v>68</v>
      </c>
      <c r="B13" s="22" t="n">
        <v>2200000</v>
      </c>
      <c r="C13" s="23" t="s">
        <v>346</v>
      </c>
      <c r="D13" s="23"/>
      <c r="E13" s="23"/>
      <c r="F13" s="23"/>
      <c r="G13" s="23"/>
      <c r="H13" s="23"/>
      <c r="I13" s="23"/>
    </row>
    <row r="14" customFormat="false" ht="15" hidden="false" customHeight="false" outlineLevel="0" collapsed="false">
      <c r="A14" s="19" t="s">
        <v>69</v>
      </c>
      <c r="B14" s="22" t="n">
        <v>900000</v>
      </c>
    </row>
    <row r="15" customFormat="false" ht="15" hidden="false" customHeight="false" outlineLevel="0" collapsed="false">
      <c r="A15" s="19" t="s">
        <v>211</v>
      </c>
      <c r="B15" s="22" t="n">
        <v>900000</v>
      </c>
    </row>
    <row r="16" customFormat="false" ht="15" hidden="false" customHeight="false" outlineLevel="0" collapsed="false">
      <c r="A16" s="24" t="s">
        <v>72</v>
      </c>
      <c r="B16" s="25" t="n">
        <f aca="false">SUM(B11:B15)</f>
        <v>16900000</v>
      </c>
    </row>
    <row r="17" customFormat="false" ht="15" hidden="false" customHeight="false" outlineLevel="0" collapsed="false">
      <c r="A17" s="21" t="s">
        <v>74</v>
      </c>
      <c r="B17" s="21"/>
      <c r="C17" s="21"/>
      <c r="D17" s="21"/>
      <c r="E17" s="21"/>
      <c r="F17" s="21"/>
      <c r="G17" s="21"/>
      <c r="H17" s="21"/>
      <c r="I17" s="21"/>
    </row>
    <row r="18" customFormat="false" ht="15" hidden="false" customHeight="true" outlineLevel="0" collapsed="false">
      <c r="A18" s="19" t="s">
        <v>75</v>
      </c>
      <c r="B18" s="26" t="n">
        <v>0.6</v>
      </c>
      <c r="C18" s="23" t="s">
        <v>347</v>
      </c>
      <c r="D18" s="23"/>
      <c r="E18" s="23"/>
      <c r="F18" s="23"/>
      <c r="G18" s="23"/>
      <c r="H18" s="23"/>
      <c r="I18" s="23"/>
    </row>
    <row r="19" customFormat="false" ht="15" hidden="false" customHeight="false" outlineLevel="0" collapsed="false">
      <c r="A19" s="19" t="s">
        <v>77</v>
      </c>
      <c r="B19" s="27" t="n">
        <f aca="false">B16*B18</f>
        <v>10140000</v>
      </c>
    </row>
    <row r="20" customFormat="false" ht="15" hidden="false" customHeight="false" outlineLevel="0" collapsed="false">
      <c r="A20" s="19" t="s">
        <v>78</v>
      </c>
      <c r="B20" s="27" t="n">
        <f aca="false">B16-B19</f>
        <v>6760000</v>
      </c>
    </row>
    <row r="21" customFormat="false" ht="15" hidden="false" customHeight="false" outlineLevel="0" collapsed="false">
      <c r="A21" s="21" t="s">
        <v>80</v>
      </c>
      <c r="B21" s="21"/>
      <c r="C21" s="21"/>
      <c r="D21" s="21"/>
      <c r="E21" s="21"/>
      <c r="F21" s="21"/>
      <c r="G21" s="21"/>
      <c r="H21" s="21"/>
      <c r="I21" s="21"/>
    </row>
    <row r="22" customFormat="false" ht="15" hidden="false" customHeight="false" outlineLevel="0" collapsed="false">
      <c r="A22" s="19" t="s">
        <v>81</v>
      </c>
      <c r="B22" s="28" t="n">
        <v>12</v>
      </c>
    </row>
    <row r="23" customFormat="false" ht="15" hidden="false" customHeight="false" outlineLevel="0" collapsed="false">
      <c r="A23" s="19" t="s">
        <v>82</v>
      </c>
      <c r="B23" s="28" t="n">
        <v>12</v>
      </c>
    </row>
    <row r="24" customFormat="false" ht="15" hidden="false" customHeight="false" outlineLevel="0" collapsed="false">
      <c r="A24" s="19" t="s">
        <v>83</v>
      </c>
      <c r="B24" s="28" t="n">
        <v>12</v>
      </c>
    </row>
    <row r="25" customFormat="false" ht="15" hidden="false" customHeight="false" outlineLevel="0" collapsed="false">
      <c r="A25" s="19" t="s">
        <v>84</v>
      </c>
      <c r="B25" s="28" t="n">
        <v>6</v>
      </c>
    </row>
    <row r="26" customFormat="false" ht="15" hidden="false" customHeight="false" outlineLevel="0" collapsed="false">
      <c r="A26" s="19" t="s">
        <v>85</v>
      </c>
      <c r="B26" s="29" t="n">
        <f aca="false">SUM(B22:B25)</f>
        <v>42</v>
      </c>
    </row>
    <row r="27" customFormat="false" ht="15" hidden="false" customHeight="true" outlineLevel="0" collapsed="false">
      <c r="A27" s="19" t="s">
        <v>86</v>
      </c>
      <c r="B27" s="30" t="s">
        <v>83</v>
      </c>
      <c r="C27" s="23" t="s">
        <v>87</v>
      </c>
      <c r="D27" s="23"/>
      <c r="E27" s="23"/>
      <c r="F27" s="23"/>
      <c r="G27" s="23"/>
      <c r="H27" s="23"/>
      <c r="I27" s="23"/>
    </row>
    <row r="28" customFormat="false" ht="15" hidden="false" customHeight="false" outlineLevel="0" collapsed="false">
      <c r="A28" s="21" t="s">
        <v>88</v>
      </c>
      <c r="B28" s="21"/>
      <c r="C28" s="21"/>
      <c r="D28" s="21"/>
      <c r="E28" s="21"/>
      <c r="F28" s="21"/>
      <c r="G28" s="21"/>
      <c r="H28" s="21"/>
      <c r="I28" s="21"/>
    </row>
    <row r="29" customFormat="false" ht="15" hidden="false" customHeight="true" outlineLevel="0" collapsed="false">
      <c r="A29" s="19" t="s">
        <v>89</v>
      </c>
      <c r="B29" s="31" t="n">
        <v>0.05</v>
      </c>
      <c r="C29" s="23" t="s">
        <v>348</v>
      </c>
      <c r="D29" s="23"/>
      <c r="E29" s="23"/>
      <c r="F29" s="23"/>
      <c r="G29" s="23"/>
      <c r="H29" s="23"/>
      <c r="I29" s="23"/>
    </row>
    <row r="30" customFormat="false" ht="15" hidden="false" customHeight="true" outlineLevel="0" collapsed="false">
      <c r="A30" s="19" t="s">
        <v>91</v>
      </c>
      <c r="B30" s="32" t="n">
        <v>0</v>
      </c>
      <c r="C30" s="23" t="s">
        <v>92</v>
      </c>
      <c r="D30" s="23"/>
      <c r="E30" s="23"/>
      <c r="F30" s="23"/>
      <c r="G30" s="23"/>
      <c r="H30" s="23"/>
      <c r="I30" s="23"/>
    </row>
    <row r="31" customFormat="false" ht="15" hidden="false" customHeight="false" outlineLevel="0" collapsed="false">
      <c r="A31" s="21" t="s">
        <v>93</v>
      </c>
      <c r="B31" s="21"/>
      <c r="C31" s="21"/>
      <c r="D31" s="21"/>
      <c r="E31" s="21"/>
      <c r="F31" s="21"/>
      <c r="G31" s="21"/>
      <c r="H31" s="21"/>
      <c r="I31" s="21"/>
    </row>
    <row r="32" customFormat="false" ht="15" hidden="false" customHeight="true" outlineLevel="0" collapsed="false">
      <c r="A32" s="19" t="s">
        <v>94</v>
      </c>
      <c r="B32" s="20" t="s">
        <v>59</v>
      </c>
      <c r="C32" s="23" t="s">
        <v>95</v>
      </c>
      <c r="D32" s="23"/>
      <c r="E32" s="23"/>
      <c r="F32" s="23"/>
      <c r="G32" s="23"/>
      <c r="H32" s="23"/>
      <c r="I32" s="23"/>
    </row>
    <row r="33" customFormat="false" ht="15" hidden="false" customHeight="true" outlineLevel="0" collapsed="false">
      <c r="A33" s="19" t="s">
        <v>96</v>
      </c>
      <c r="B33" s="33" t="n">
        <v>1</v>
      </c>
      <c r="C33" s="23" t="s">
        <v>97</v>
      </c>
      <c r="D33" s="23"/>
      <c r="E33" s="23"/>
      <c r="F33" s="23"/>
      <c r="G33" s="23"/>
      <c r="H33" s="23"/>
      <c r="I33" s="23"/>
    </row>
    <row r="34" customFormat="false" ht="15" hidden="false" customHeight="true" outlineLevel="0" collapsed="false">
      <c r="A34" s="19" t="s">
        <v>98</v>
      </c>
      <c r="B34" s="20" t="s">
        <v>99</v>
      </c>
      <c r="C34" s="23" t="s">
        <v>100</v>
      </c>
      <c r="D34" s="23"/>
      <c r="E34" s="23"/>
      <c r="F34" s="23"/>
      <c r="G34" s="23"/>
      <c r="H34" s="23"/>
      <c r="I34" s="23"/>
    </row>
    <row r="35" customFormat="false" ht="15" hidden="false" customHeight="true" outlineLevel="0" collapsed="false">
      <c r="A35" s="19" t="s">
        <v>101</v>
      </c>
      <c r="B35" s="20" t="s">
        <v>102</v>
      </c>
      <c r="C35" s="23" t="s">
        <v>103</v>
      </c>
      <c r="D35" s="23"/>
      <c r="E35" s="23"/>
      <c r="F35" s="23"/>
      <c r="G35" s="23"/>
      <c r="H35" s="23"/>
      <c r="I35" s="23"/>
    </row>
    <row r="36" customFormat="false" ht="15" hidden="false" customHeight="true" outlineLevel="0" collapsed="false">
      <c r="A36" s="19" t="s">
        <v>104</v>
      </c>
      <c r="B36" s="32" t="n">
        <v>0.01</v>
      </c>
      <c r="C36" s="23" t="s">
        <v>105</v>
      </c>
      <c r="D36" s="23"/>
      <c r="E36" s="23"/>
      <c r="F36" s="23"/>
      <c r="G36" s="23"/>
      <c r="H36" s="23"/>
      <c r="I36" s="23"/>
    </row>
    <row r="38" customFormat="false" ht="18" hidden="false" customHeight="true" outlineLevel="0" collapsed="false">
      <c r="A38" s="3" t="s">
        <v>106</v>
      </c>
      <c r="B38" s="3"/>
      <c r="C38" s="3"/>
      <c r="D38" s="3"/>
      <c r="E38" s="3"/>
      <c r="F38" s="3"/>
      <c r="G38" s="3"/>
      <c r="H38" s="3"/>
      <c r="I38" s="3"/>
    </row>
    <row r="39" customFormat="false" ht="24" hidden="false" customHeight="true" outlineLevel="0" collapsed="false">
      <c r="A39" s="34" t="s">
        <v>107</v>
      </c>
      <c r="B39" s="34" t="s">
        <v>108</v>
      </c>
      <c r="C39" s="34" t="s">
        <v>109</v>
      </c>
      <c r="D39" s="34" t="s">
        <v>110</v>
      </c>
      <c r="E39" s="35" t="s">
        <v>111</v>
      </c>
      <c r="F39" s="35"/>
      <c r="G39" s="35"/>
      <c r="H39" s="35" t="s">
        <v>112</v>
      </c>
      <c r="I39" s="35"/>
    </row>
    <row r="40" customFormat="false" ht="24" hidden="false" customHeight="true" outlineLevel="0" collapsed="false">
      <c r="A40" s="36" t="s">
        <v>81</v>
      </c>
      <c r="B40" s="37" t="n">
        <f aca="false">B22</f>
        <v>12</v>
      </c>
      <c r="C40" s="38" t="n">
        <v>0.15</v>
      </c>
      <c r="D40" s="39" t="n">
        <f aca="false">C40*$B$16</f>
        <v>2535000</v>
      </c>
      <c r="E40" s="40" t="s">
        <v>349</v>
      </c>
      <c r="F40" s="40"/>
      <c r="G40" s="40"/>
      <c r="H40" s="40" t="s">
        <v>350</v>
      </c>
      <c r="I40" s="40"/>
    </row>
    <row r="41" customFormat="false" ht="24" hidden="false" customHeight="true" outlineLevel="0" collapsed="false">
      <c r="A41" s="36" t="s">
        <v>82</v>
      </c>
      <c r="B41" s="37" t="n">
        <f aca="false">B23</f>
        <v>12</v>
      </c>
      <c r="C41" s="38" t="n">
        <v>0.97</v>
      </c>
      <c r="D41" s="39" t="n">
        <f aca="false">C41*$B$16</f>
        <v>16393000</v>
      </c>
      <c r="E41" s="40" t="s">
        <v>351</v>
      </c>
      <c r="F41" s="40"/>
      <c r="G41" s="40"/>
      <c r="H41" s="40" t="s">
        <v>352</v>
      </c>
      <c r="I41" s="40"/>
    </row>
    <row r="42" customFormat="false" ht="24" hidden="false" customHeight="true" outlineLevel="0" collapsed="false">
      <c r="A42" s="36" t="s">
        <v>83</v>
      </c>
      <c r="B42" s="37" t="n">
        <f aca="false">B24</f>
        <v>12</v>
      </c>
      <c r="C42" s="38" t="n">
        <v>1</v>
      </c>
      <c r="D42" s="39" t="n">
        <f aca="false">C42*$B$16</f>
        <v>16900000</v>
      </c>
      <c r="E42" s="40" t="s">
        <v>353</v>
      </c>
      <c r="F42" s="40"/>
      <c r="G42" s="40"/>
      <c r="H42" s="40" t="s">
        <v>354</v>
      </c>
      <c r="I42" s="40"/>
    </row>
    <row r="43" customFormat="false" ht="24" hidden="false" customHeight="true" outlineLevel="0" collapsed="false">
      <c r="A43" s="36" t="s">
        <v>84</v>
      </c>
      <c r="B43" s="37" t="n">
        <f aca="false">B25</f>
        <v>6</v>
      </c>
      <c r="C43" s="38" t="n">
        <v>1</v>
      </c>
      <c r="D43" s="39" t="n">
        <f aca="false">C43*$B$16</f>
        <v>16900000</v>
      </c>
      <c r="E43" s="40" t="s">
        <v>355</v>
      </c>
      <c r="F43" s="40"/>
      <c r="G43" s="40"/>
      <c r="H43" s="40" t="s">
        <v>321</v>
      </c>
      <c r="I43" s="40"/>
    </row>
    <row r="44" customFormat="false" ht="21.75" hidden="false" customHeight="true" outlineLevel="0" collapsed="false">
      <c r="A44" s="4" t="s">
        <v>121</v>
      </c>
      <c r="B44" s="4"/>
      <c r="C44" s="4"/>
      <c r="D44" s="4"/>
      <c r="E44" s="4"/>
      <c r="F44" s="4"/>
      <c r="G44" s="4"/>
      <c r="H44" s="4"/>
      <c r="I44" s="4"/>
    </row>
    <row r="46" customFormat="false" ht="18" hidden="false" customHeight="true" outlineLevel="0" collapsed="false">
      <c r="A46" s="3" t="s">
        <v>122</v>
      </c>
      <c r="B46" s="3"/>
      <c r="C46" s="3"/>
      <c r="D46" s="3"/>
      <c r="E46" s="3"/>
      <c r="F46" s="3"/>
      <c r="G46" s="3"/>
      <c r="H46" s="3"/>
      <c r="I46" s="3"/>
    </row>
    <row r="47" customFormat="false" ht="15" hidden="false" customHeight="true" outlineLevel="0" collapsed="false">
      <c r="A47" s="19" t="s">
        <v>356</v>
      </c>
      <c r="B47" s="41" t="n">
        <f aca="false">INDEX(Methodology!$B$14:$D$14,MIN(3,IF($B$35="LOW",1,IF($B$35="BASE",2,3))+IF($B$34="Credit bust",1,0)))</f>
        <v>0.3</v>
      </c>
      <c r="C47" s="23" t="s">
        <v>124</v>
      </c>
      <c r="D47" s="23"/>
      <c r="E47" s="23"/>
      <c r="F47" s="23"/>
      <c r="G47" s="23"/>
      <c r="H47" s="23"/>
      <c r="I47" s="23"/>
    </row>
    <row r="48" customFormat="false" ht="15" hidden="false" customHeight="true" outlineLevel="0" collapsed="false">
      <c r="A48" s="19" t="s">
        <v>125</v>
      </c>
      <c r="B48" s="42" t="n">
        <f aca="false">Methodology!$H$14</f>
        <v>0.07</v>
      </c>
      <c r="C48" s="23" t="s">
        <v>126</v>
      </c>
      <c r="D48" s="23"/>
      <c r="E48" s="23"/>
      <c r="F48" s="23"/>
      <c r="G48" s="23"/>
      <c r="H48" s="23"/>
      <c r="I48" s="23"/>
    </row>
    <row r="49" customFormat="false" ht="15" hidden="false" customHeight="true" outlineLevel="0" collapsed="false">
      <c r="A49" s="19" t="s">
        <v>127</v>
      </c>
      <c r="B49" s="43" t="n">
        <f aca="false">Methodology!$I$14</f>
        <v>0.15</v>
      </c>
      <c r="C49" s="23" t="s">
        <v>128</v>
      </c>
      <c r="D49" s="23"/>
      <c r="E49" s="23"/>
      <c r="F49" s="23"/>
      <c r="G49" s="23"/>
      <c r="H49" s="23"/>
      <c r="I49" s="23"/>
    </row>
    <row r="50" customFormat="false" ht="15" hidden="false" customHeight="true" outlineLevel="0" collapsed="false">
      <c r="A50" s="19" t="s">
        <v>129</v>
      </c>
      <c r="B50" s="44" t="n">
        <f aca="false">INDEX(Methodology!$E$20:$E$23,MATCH($B$27,Methodology!$A$20:$A$23,0))</f>
        <v>0.625</v>
      </c>
      <c r="C50" s="23" t="s">
        <v>130</v>
      </c>
      <c r="D50" s="23"/>
      <c r="E50" s="23"/>
      <c r="F50" s="23"/>
      <c r="G50" s="23"/>
      <c r="H50" s="23"/>
      <c r="I50" s="23"/>
    </row>
    <row r="51" customFormat="false" ht="15" hidden="false" customHeight="true" outlineLevel="0" collapsed="false">
      <c r="A51" s="19" t="s">
        <v>131</v>
      </c>
      <c r="B51" s="26"/>
      <c r="C51" s="23" t="s">
        <v>132</v>
      </c>
      <c r="D51" s="23"/>
      <c r="E51" s="23"/>
      <c r="F51" s="23"/>
      <c r="G51" s="23"/>
      <c r="H51" s="23"/>
      <c r="I51" s="23"/>
    </row>
    <row r="52" customFormat="false" ht="15" hidden="false" customHeight="false" outlineLevel="0" collapsed="false">
      <c r="A52" s="24" t="s">
        <v>133</v>
      </c>
      <c r="B52" s="45" t="n">
        <f aca="false">MIN(IF($B$51="",$B$50,$B$51),$B$49)</f>
        <v>0.15</v>
      </c>
      <c r="C52" s="46" t="str">
        <f aca="false">IF(AND($B$51&lt;&gt;"",$B$51&gt;$B$49),"Note: override silently capped at F_max = "&amp;TEXT($B$49,"0%"),"")</f>
        <v/>
      </c>
      <c r="D52" s="46"/>
      <c r="E52" s="46"/>
      <c r="F52" s="46"/>
      <c r="G52" s="46"/>
      <c r="H52" s="46"/>
      <c r="I52" s="46"/>
    </row>
    <row r="53" customFormat="false" ht="15" hidden="false" customHeight="true" outlineLevel="0" collapsed="false">
      <c r="A53" s="19" t="s">
        <v>134</v>
      </c>
      <c r="B53" s="47" t="n">
        <v>16900000</v>
      </c>
      <c r="C53" s="23" t="s">
        <v>357</v>
      </c>
      <c r="D53" s="23"/>
      <c r="E53" s="23"/>
      <c r="F53" s="23"/>
      <c r="G53" s="23"/>
      <c r="H53" s="23"/>
      <c r="I53" s="23"/>
    </row>
    <row r="54" customFormat="false" ht="15" hidden="false" customHeight="true" outlineLevel="0" collapsed="false">
      <c r="A54" s="19" t="s">
        <v>136</v>
      </c>
      <c r="B54" s="27" t="n">
        <f aca="false">INDEX($D$40:$D$43,MATCH($B$27,$A$40:$A$43,0))</f>
        <v>16900000</v>
      </c>
      <c r="C54" s="23" t="s">
        <v>137</v>
      </c>
      <c r="D54" s="23"/>
      <c r="E54" s="23"/>
      <c r="F54" s="23"/>
      <c r="G54" s="23"/>
      <c r="H54" s="23"/>
      <c r="I54" s="23"/>
    </row>
    <row r="55" customFormat="false" ht="15" hidden="false" customHeight="false" outlineLevel="0" collapsed="false">
      <c r="A55" s="19" t="s">
        <v>138</v>
      </c>
      <c r="B55" s="48" t="n">
        <f aca="false">B47*B33</f>
        <v>0.3</v>
      </c>
    </row>
    <row r="56" customFormat="false" ht="15" hidden="false" customHeight="true" outlineLevel="0" collapsed="false">
      <c r="A56" s="24" t="s">
        <v>139</v>
      </c>
      <c r="B56" s="25" t="n">
        <f aca="false">B53*B55*B29*B52</f>
        <v>38025</v>
      </c>
      <c r="C56" s="23" t="s">
        <v>140</v>
      </c>
      <c r="D56" s="23"/>
      <c r="E56" s="23"/>
      <c r="F56" s="23"/>
      <c r="G56" s="23"/>
      <c r="H56" s="23"/>
      <c r="I56" s="23"/>
    </row>
    <row r="57" customFormat="false" ht="15" hidden="false" customHeight="true" outlineLevel="0" collapsed="false">
      <c r="A57" s="19" t="s">
        <v>141</v>
      </c>
      <c r="B57" s="49" t="n">
        <f aca="false">B48*B52</f>
        <v>0.0105</v>
      </c>
      <c r="C57" s="23" t="s">
        <v>142</v>
      </c>
      <c r="D57" s="23"/>
      <c r="E57" s="23"/>
      <c r="F57" s="23"/>
      <c r="G57" s="23"/>
      <c r="H57" s="23"/>
      <c r="I57" s="23"/>
    </row>
    <row r="59" customFormat="false" ht="15" hidden="false" customHeight="false" outlineLevel="0" collapsed="false">
      <c r="A59" s="21" t="s">
        <v>143</v>
      </c>
      <c r="B59" s="21"/>
      <c r="C59" s="21"/>
      <c r="D59" s="21"/>
      <c r="E59" s="21"/>
      <c r="F59" s="21"/>
      <c r="G59" s="21"/>
      <c r="H59" s="21"/>
      <c r="I59" s="21"/>
    </row>
    <row r="60" customFormat="false" ht="24" hidden="false" customHeight="true" outlineLevel="0" collapsed="false">
      <c r="A60" s="34" t="s">
        <v>144</v>
      </c>
      <c r="B60" s="34" t="s">
        <v>145</v>
      </c>
      <c r="C60" s="34" t="s">
        <v>146</v>
      </c>
      <c r="D60" s="34" t="s">
        <v>147</v>
      </c>
      <c r="E60" s="34" t="s">
        <v>148</v>
      </c>
      <c r="F60" s="34" t="s">
        <v>149</v>
      </c>
      <c r="G60" s="34" t="s">
        <v>150</v>
      </c>
      <c r="H60" s="34" t="s">
        <v>151</v>
      </c>
      <c r="I60" s="34" t="s">
        <v>152</v>
      </c>
    </row>
    <row r="61" customFormat="false" ht="15" hidden="false" customHeight="false" outlineLevel="0" collapsed="false">
      <c r="A61" s="50" t="n">
        <v>0.02</v>
      </c>
      <c r="B61" s="51" t="n">
        <v>0.18</v>
      </c>
      <c r="C61" s="52" t="n">
        <f aca="false">B61*(1+$B$36)</f>
        <v>0.1818</v>
      </c>
      <c r="D61" s="38" t="n">
        <v>0.4</v>
      </c>
      <c r="E61" s="39" t="n">
        <f aca="false">$B$56*D61</f>
        <v>15210</v>
      </c>
      <c r="F61" s="53" t="n">
        <f aca="false">ROUNDUP(E61/(1-C61),0)</f>
        <v>18590</v>
      </c>
      <c r="G61" s="39" t="n">
        <f aca="false">F61*C61</f>
        <v>3379.662</v>
      </c>
      <c r="H61" s="54" t="n">
        <v>50000</v>
      </c>
      <c r="I61" s="55" t="str">
        <f aca="false">IF(F61&gt;10*H61,"THIN BOOK — split tenors/levels","OK")</f>
        <v>OK</v>
      </c>
    </row>
    <row r="62" customFormat="false" ht="15" hidden="false" customHeight="false" outlineLevel="0" collapsed="false">
      <c r="A62" s="50" t="n">
        <v>0.035</v>
      </c>
      <c r="B62" s="51" t="n">
        <v>0.12</v>
      </c>
      <c r="C62" s="52" t="n">
        <f aca="false">B62*(1+$B$36)</f>
        <v>0.1212</v>
      </c>
      <c r="D62" s="38" t="n">
        <v>0.35</v>
      </c>
      <c r="E62" s="39" t="n">
        <f aca="false">$B$56*D62</f>
        <v>13308.75</v>
      </c>
      <c r="F62" s="53" t="n">
        <f aca="false">ROUNDUP(E62/(1-C62),0)</f>
        <v>15145</v>
      </c>
      <c r="G62" s="39" t="n">
        <f aca="false">F62*C62</f>
        <v>1835.574</v>
      </c>
      <c r="H62" s="54" t="n">
        <v>50000</v>
      </c>
      <c r="I62" s="55" t="str">
        <f aca="false">IF(F62&gt;10*H62,"THIN BOOK — split tenors/levels","OK")</f>
        <v>OK</v>
      </c>
    </row>
    <row r="63" customFormat="false" ht="15" hidden="false" customHeight="false" outlineLevel="0" collapsed="false">
      <c r="A63" s="50" t="n">
        <v>0.05</v>
      </c>
      <c r="B63" s="51" t="n">
        <v>0.07</v>
      </c>
      <c r="C63" s="52" t="n">
        <f aca="false">B63*(1+$B$36)</f>
        <v>0.0707</v>
      </c>
      <c r="D63" s="38" t="n">
        <v>0.25</v>
      </c>
      <c r="E63" s="39" t="n">
        <f aca="false">$B$56*D63</f>
        <v>9506.25</v>
      </c>
      <c r="F63" s="53" t="n">
        <f aca="false">ROUNDUP(E63/(1-C63),0)</f>
        <v>10230</v>
      </c>
      <c r="G63" s="39" t="n">
        <f aca="false">F63*C63</f>
        <v>723.261</v>
      </c>
      <c r="H63" s="54" t="n">
        <v>50000</v>
      </c>
      <c r="I63" s="55" t="str">
        <f aca="false">IF(F63&gt;10*H63,"THIN BOOK — split tenors/levels","OK")</f>
        <v>OK</v>
      </c>
    </row>
    <row r="64" customFormat="false" ht="15" hidden="false" customHeight="false" outlineLevel="0" collapsed="false">
      <c r="A64" s="15" t="s">
        <v>153</v>
      </c>
      <c r="D64" s="56" t="n">
        <f aca="false">SUM(D61:D63)</f>
        <v>1</v>
      </c>
      <c r="E64" s="57" t="n">
        <f aca="false">SUM(E61:E63)</f>
        <v>38025</v>
      </c>
      <c r="F64" s="58" t="n">
        <f aca="false">SUM(F61:F63)</f>
        <v>43965</v>
      </c>
      <c r="G64" s="57" t="n">
        <f aca="false">SUM(G61:G63)</f>
        <v>5938.497</v>
      </c>
    </row>
    <row r="65" customFormat="false" ht="15" hidden="false" customHeight="false" outlineLevel="0" collapsed="false">
      <c r="A65" s="59" t="str">
        <f aca="false">IF(AND(ROUND(SUM(D61:D63),4)=1,$B$30&lt;A61,A61&lt;=A62,A62&lt;=A63,ROUND(A63,4)=ROUND($B$29,4)),"Ladder checks: OK (allocations sum to 100%; attach &lt; K1 ≤ K2 ≤ K3 = d)","WARNING — fix the ladder: allocations must sum to 100%; strikes must run shallow → deep; attach a &lt; first strike; deepest strike must equal d")</f>
        <v>Ladder checks: OK (allocations sum to 100%; attach &lt; K1 ≤ K2 ≤ K3 = d)</v>
      </c>
      <c r="B65" s="59"/>
      <c r="C65" s="59"/>
      <c r="D65" s="59"/>
      <c r="E65" s="59"/>
      <c r="F65" s="59"/>
      <c r="G65" s="59"/>
      <c r="H65" s="59"/>
      <c r="I65" s="59"/>
    </row>
    <row r="67" customFormat="false" ht="15" hidden="false" customHeight="false" outlineLevel="0" collapsed="false">
      <c r="A67" s="21" t="s">
        <v>154</v>
      </c>
      <c r="B67" s="21"/>
      <c r="C67" s="21"/>
      <c r="D67" s="21"/>
      <c r="E67" s="21"/>
      <c r="F67" s="21"/>
      <c r="G67" s="21"/>
      <c r="H67" s="21"/>
      <c r="I67" s="21"/>
    </row>
    <row r="68" customFormat="false" ht="15" hidden="false" customHeight="true" outlineLevel="0" collapsed="false">
      <c r="A68" s="19" t="s">
        <v>155</v>
      </c>
      <c r="B68" s="60" t="n">
        <f aca="false">F64</f>
        <v>43965</v>
      </c>
      <c r="C68" s="23" t="s">
        <v>156</v>
      </c>
      <c r="D68" s="23"/>
      <c r="E68" s="23"/>
      <c r="F68" s="23"/>
      <c r="G68" s="23"/>
      <c r="H68" s="23"/>
      <c r="I68" s="23"/>
    </row>
    <row r="69" customFormat="false" ht="15" hidden="false" customHeight="false" outlineLevel="0" collapsed="false">
      <c r="A69" s="19" t="s">
        <v>157</v>
      </c>
      <c r="B69" s="27" t="n">
        <f aca="false">F64</f>
        <v>43965</v>
      </c>
    </row>
    <row r="70" customFormat="false" ht="15" hidden="false" customHeight="false" outlineLevel="0" collapsed="false">
      <c r="A70" s="24" t="s">
        <v>158</v>
      </c>
      <c r="B70" s="25" t="n">
        <f aca="false">G64</f>
        <v>5938.497</v>
      </c>
    </row>
    <row r="71" customFormat="false" ht="15" hidden="false" customHeight="true" outlineLevel="0" collapsed="false">
      <c r="A71" s="19" t="s">
        <v>159</v>
      </c>
      <c r="B71" s="61" t="n">
        <f aca="false">B70/$B$16</f>
        <v>0.000351390355029586</v>
      </c>
      <c r="C71" s="23" t="s">
        <v>160</v>
      </c>
      <c r="D71" s="23"/>
      <c r="E71" s="23"/>
      <c r="F71" s="23"/>
      <c r="G71" s="23"/>
      <c r="H71" s="23"/>
      <c r="I71" s="23"/>
    </row>
    <row r="72" customFormat="false" ht="15" hidden="false" customHeight="true" outlineLevel="0" collapsed="false">
      <c r="A72" s="19" t="s">
        <v>161</v>
      </c>
      <c r="B72" s="61" t="n">
        <f aca="false">B70/$B$53</f>
        <v>0.000351390355029586</v>
      </c>
      <c r="C72" s="23" t="s">
        <v>162</v>
      </c>
      <c r="D72" s="23"/>
      <c r="E72" s="23"/>
      <c r="F72" s="23"/>
      <c r="G72" s="23"/>
      <c r="H72" s="23"/>
      <c r="I72" s="23"/>
    </row>
    <row r="73" customFormat="false" ht="15" hidden="false" customHeight="false" outlineLevel="0" collapsed="false">
      <c r="A73" s="19" t="s">
        <v>163</v>
      </c>
      <c r="B73" s="27" t="n">
        <f aca="false">SUMPRODUCT(($A$61:$A$63&lt;=$B$29)*$F$61:$F$63)</f>
        <v>43965</v>
      </c>
    </row>
    <row r="74" customFormat="false" ht="15" hidden="false" customHeight="true" outlineLevel="0" collapsed="false">
      <c r="A74" s="24" t="s">
        <v>164</v>
      </c>
      <c r="B74" s="25" t="n">
        <f aca="false">B73-B70</f>
        <v>38026.503</v>
      </c>
      <c r="C74" s="23" t="s">
        <v>165</v>
      </c>
      <c r="D74" s="23"/>
      <c r="E74" s="23"/>
      <c r="F74" s="23"/>
      <c r="G74" s="23"/>
      <c r="H74" s="23"/>
      <c r="I74" s="23"/>
    </row>
    <row r="75" customFormat="false" ht="15" hidden="false" customHeight="false" outlineLevel="0" collapsed="false">
      <c r="A75" s="19" t="s">
        <v>166</v>
      </c>
      <c r="B75" s="27" t="n">
        <f aca="false">B53*B55*MAX(B29-B30,0)</f>
        <v>253500</v>
      </c>
    </row>
    <row r="76" customFormat="false" ht="15" hidden="false" customHeight="true" outlineLevel="0" collapsed="false">
      <c r="A76" s="19" t="s">
        <v>167</v>
      </c>
      <c r="B76" s="27" t="n">
        <f aca="false">B75-B74</f>
        <v>215473.497</v>
      </c>
      <c r="C76" s="23" t="s">
        <v>168</v>
      </c>
      <c r="D76" s="23"/>
      <c r="E76" s="23"/>
      <c r="F76" s="23"/>
      <c r="G76" s="23"/>
      <c r="H76" s="23"/>
      <c r="I76" s="23"/>
    </row>
    <row r="77" customFormat="false" ht="15" hidden="false" customHeight="false" outlineLevel="0" collapsed="false">
      <c r="A77" s="19" t="s">
        <v>169</v>
      </c>
      <c r="B77" s="62" t="n">
        <f aca="false">B74/MAX(B75,1)</f>
        <v>0.150005928994083</v>
      </c>
    </row>
    <row r="78" customFormat="false" ht="19.5" hidden="false" customHeight="true" outlineLevel="0" collapsed="false">
      <c r="A78" s="24" t="s">
        <v>170</v>
      </c>
      <c r="B78" s="69" t="str">
        <f aca="false">IF($B$48&lt;0.15,"WEAK PROXY HEDGE — HE = "&amp;TEXT($B$48,"0.000")&amp;": a ZHVI hedge removes little of this risk. Consider hedging only the housing-linked slice of the exposure, or not hedging with ZHVI binaries.","OK — HE ≥ 0.15")</f>
        <v>WEAK PROXY HEDGE — HE = 0.070: a ZHVI hedge removes little of this risk. Consider hedging only the housing-linked slice of the exposure, or not hedging with ZHVI binaries.</v>
      </c>
      <c r="C78" s="69"/>
      <c r="D78" s="69"/>
      <c r="E78" s="69"/>
      <c r="F78" s="69"/>
      <c r="G78" s="69"/>
      <c r="H78" s="69"/>
      <c r="I78" s="69"/>
    </row>
    <row r="79" customFormat="false" ht="15" hidden="false" customHeight="false" outlineLevel="0" collapsed="false">
      <c r="A79" s="24" t="s">
        <v>171</v>
      </c>
      <c r="B79" s="64" t="n">
        <f aca="false">INDEX(Methodology!$B$28:$B$32,MATCH($B$32,Methodology!$A$28:$A$32,0))</f>
        <v>50000</v>
      </c>
      <c r="C79" s="63" t="str">
        <f aca="false">IF($B$56&lt;B79,"Coverage target is below this level's capitalization floor — the book may not exist; move up a level.","OK — coverage ≥ the level floor ($5k zip / $50k city-county / $100k state)")</f>
        <v>Coverage target is below this level's capitalization floor — the book may not exist; move up a level.</v>
      </c>
      <c r="D79" s="63"/>
      <c r="E79" s="63"/>
      <c r="F79" s="63"/>
      <c r="G79" s="63"/>
      <c r="H79" s="63"/>
      <c r="I79" s="63"/>
    </row>
    <row r="80" customFormat="false" ht="15" hidden="false" customHeight="false" outlineLevel="0" collapsed="false">
      <c r="A80" s="24" t="s">
        <v>172</v>
      </c>
      <c r="B80" s="63" t="str">
        <f aca="false">IF(COUNTIF($I$61:$I$63,"OK")=3,"OK — every strike within 10× resting book depth","THIN BOOK on ≥1 strike — split across tenors/levels, use the county/state book, or stagger entry")</f>
        <v>OK — every strike within 10× resting book depth</v>
      </c>
      <c r="C80" s="63"/>
      <c r="D80" s="63"/>
      <c r="E80" s="63"/>
      <c r="F80" s="63"/>
      <c r="G80" s="63"/>
      <c r="H80" s="63"/>
      <c r="I80" s="63"/>
    </row>
    <row r="81" customFormat="false" ht="21.75" hidden="false" customHeight="true" outlineLevel="0" collapsed="false">
      <c r="A81" s="4" t="s">
        <v>358</v>
      </c>
      <c r="B81" s="4"/>
      <c r="C81" s="4"/>
      <c r="D81" s="4"/>
      <c r="E81" s="4"/>
      <c r="F81" s="4"/>
      <c r="G81" s="4"/>
      <c r="H81" s="4"/>
      <c r="I81" s="4"/>
    </row>
    <row r="83" customFormat="false" ht="18" hidden="false" customHeight="true" outlineLevel="0" collapsed="false">
      <c r="A83" s="3" t="s">
        <v>174</v>
      </c>
      <c r="B83" s="3"/>
      <c r="C83" s="3"/>
      <c r="D83" s="3"/>
      <c r="E83" s="3"/>
      <c r="F83" s="3"/>
      <c r="G83" s="3"/>
      <c r="H83" s="3"/>
      <c r="I83" s="3"/>
    </row>
    <row r="84" customFormat="false" ht="15" hidden="false" customHeight="false" outlineLevel="0" collapsed="false">
      <c r="A84" s="21" t="s">
        <v>359</v>
      </c>
      <c r="B84" s="21"/>
      <c r="C84" s="21"/>
      <c r="D84" s="21"/>
      <c r="E84" s="21"/>
      <c r="F84" s="21"/>
      <c r="G84" s="21"/>
      <c r="H84" s="21"/>
      <c r="I84" s="21"/>
    </row>
    <row r="85" customFormat="false" ht="15" hidden="false" customHeight="true" outlineLevel="0" collapsed="false">
      <c r="A85" s="19" t="s">
        <v>360</v>
      </c>
      <c r="B85" s="65" t="n">
        <v>80000</v>
      </c>
      <c r="C85" s="23" t="s">
        <v>361</v>
      </c>
      <c r="D85" s="23"/>
      <c r="E85" s="23"/>
      <c r="F85" s="23"/>
      <c r="G85" s="23"/>
      <c r="H85" s="23"/>
      <c r="I85" s="23"/>
    </row>
    <row r="86" customFormat="false" ht="15" hidden="false" customHeight="true" outlineLevel="0" collapsed="false">
      <c r="A86" s="19" t="s">
        <v>362</v>
      </c>
      <c r="B86" s="70" t="n">
        <v>16.8</v>
      </c>
      <c r="C86" s="23" t="s">
        <v>363</v>
      </c>
      <c r="D86" s="23"/>
      <c r="E86" s="23"/>
      <c r="F86" s="23"/>
      <c r="G86" s="23"/>
      <c r="H86" s="23"/>
      <c r="I86" s="23"/>
    </row>
    <row r="87" customFormat="false" ht="15" hidden="false" customHeight="false" outlineLevel="0" collapsed="false">
      <c r="A87" s="19" t="s">
        <v>289</v>
      </c>
      <c r="B87" s="32" t="n">
        <v>0.95</v>
      </c>
    </row>
    <row r="88" customFormat="false" ht="15" hidden="false" customHeight="false" outlineLevel="0" collapsed="false">
      <c r="A88" s="24" t="s">
        <v>184</v>
      </c>
      <c r="B88" s="25" t="n">
        <f aca="false">B85*B86*B87</f>
        <v>1276800</v>
      </c>
    </row>
    <row r="89" customFormat="false" ht="15" hidden="false" customHeight="false" outlineLevel="0" collapsed="false">
      <c r="A89" s="21" t="s">
        <v>185</v>
      </c>
      <c r="B89" s="21"/>
      <c r="C89" s="21"/>
      <c r="D89" s="21"/>
      <c r="E89" s="21"/>
      <c r="F89" s="21"/>
      <c r="G89" s="21"/>
      <c r="H89" s="21"/>
      <c r="I89" s="21"/>
    </row>
    <row r="90" customFormat="false" ht="15" hidden="false" customHeight="false" outlineLevel="0" collapsed="false">
      <c r="A90" s="19" t="s">
        <v>291</v>
      </c>
      <c r="B90" s="61" t="n">
        <f aca="false">B88/$B$16</f>
        <v>0.0755502958579882</v>
      </c>
    </row>
    <row r="91" customFormat="false" ht="15" hidden="false" customHeight="true" outlineLevel="0" collapsed="false">
      <c r="A91" s="19" t="s">
        <v>188</v>
      </c>
      <c r="B91" s="66" t="n">
        <v>0.059</v>
      </c>
      <c r="C91" s="23" t="s">
        <v>364</v>
      </c>
      <c r="D91" s="23"/>
      <c r="E91" s="23"/>
      <c r="F91" s="23"/>
      <c r="G91" s="23"/>
      <c r="H91" s="23"/>
      <c r="I91" s="23"/>
    </row>
    <row r="92" customFormat="false" ht="15" hidden="false" customHeight="true" outlineLevel="0" collapsed="false">
      <c r="A92" s="19" t="s">
        <v>190</v>
      </c>
      <c r="B92" s="67" t="n">
        <f aca="false">(B90-B91)*10000</f>
        <v>165.502958579882</v>
      </c>
      <c r="C92" s="23" t="s">
        <v>365</v>
      </c>
      <c r="D92" s="23"/>
      <c r="E92" s="23"/>
      <c r="F92" s="23"/>
      <c r="G92" s="23"/>
      <c r="H92" s="23"/>
      <c r="I92" s="23"/>
    </row>
    <row r="93" customFormat="false" ht="15" hidden="false" customHeight="false" outlineLevel="0" collapsed="false">
      <c r="A93" s="19" t="s">
        <v>296</v>
      </c>
      <c r="B93" s="66" t="n">
        <v>0.065</v>
      </c>
    </row>
    <row r="94" customFormat="false" ht="15" hidden="false" customHeight="false" outlineLevel="0" collapsed="false">
      <c r="A94" s="19" t="s">
        <v>297</v>
      </c>
      <c r="B94" s="27" t="n">
        <f aca="false">$B$19*B93</f>
        <v>659100</v>
      </c>
    </row>
    <row r="95" customFormat="false" ht="15" hidden="false" customHeight="true" outlineLevel="0" collapsed="false">
      <c r="A95" s="19" t="s">
        <v>298</v>
      </c>
      <c r="B95" s="68" t="n">
        <f aca="false">B88/B94</f>
        <v>1.93718707328175</v>
      </c>
      <c r="C95" s="23" t="s">
        <v>366</v>
      </c>
      <c r="D95" s="23"/>
      <c r="E95" s="23"/>
      <c r="F95" s="23"/>
      <c r="G95" s="23"/>
      <c r="H95" s="23"/>
      <c r="I95" s="23"/>
    </row>
    <row r="96" customFormat="false" ht="15" hidden="false" customHeight="true" outlineLevel="0" collapsed="false">
      <c r="A96" s="19" t="s">
        <v>196</v>
      </c>
      <c r="B96" s="61" t="n">
        <f aca="false">B88/$B$19</f>
        <v>0.125917159763314</v>
      </c>
      <c r="C96" s="23" t="s">
        <v>367</v>
      </c>
      <c r="D96" s="23"/>
      <c r="E96" s="23"/>
      <c r="F96" s="23"/>
      <c r="G96" s="23"/>
      <c r="H96" s="23"/>
      <c r="I96" s="23"/>
    </row>
    <row r="97" customFormat="false" ht="21.75" hidden="false" customHeight="true" outlineLevel="0" collapsed="false">
      <c r="A97" s="4" t="s">
        <v>368</v>
      </c>
      <c r="B97" s="4"/>
      <c r="C97" s="4"/>
      <c r="D97" s="4"/>
      <c r="E97" s="4"/>
      <c r="F97" s="4"/>
      <c r="G97" s="4"/>
      <c r="H97" s="4"/>
      <c r="I97" s="4"/>
    </row>
  </sheetData>
  <mergeCells count="64">
    <mergeCell ref="A1:I1"/>
    <mergeCell ref="A2:I2"/>
    <mergeCell ref="A3:I3"/>
    <mergeCell ref="A5:I5"/>
    <mergeCell ref="A10:I10"/>
    <mergeCell ref="C13:I13"/>
    <mergeCell ref="A17:I17"/>
    <mergeCell ref="C18:I18"/>
    <mergeCell ref="A21:I21"/>
    <mergeCell ref="C27:I27"/>
    <mergeCell ref="A28:I28"/>
    <mergeCell ref="C29:I29"/>
    <mergeCell ref="C30:I30"/>
    <mergeCell ref="A31:I31"/>
    <mergeCell ref="C32:I32"/>
    <mergeCell ref="C33:I33"/>
    <mergeCell ref="C34:I34"/>
    <mergeCell ref="C35:I35"/>
    <mergeCell ref="C36:I36"/>
    <mergeCell ref="A38:I38"/>
    <mergeCell ref="E39:G39"/>
    <mergeCell ref="H39:I39"/>
    <mergeCell ref="E40:G40"/>
    <mergeCell ref="H40:I40"/>
    <mergeCell ref="E41:G41"/>
    <mergeCell ref="H41:I41"/>
    <mergeCell ref="E42:G42"/>
    <mergeCell ref="H42:I42"/>
    <mergeCell ref="E43:G43"/>
    <mergeCell ref="H43:I43"/>
    <mergeCell ref="A44:I44"/>
    <mergeCell ref="A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6:I56"/>
    <mergeCell ref="C57:I57"/>
    <mergeCell ref="A59:I59"/>
    <mergeCell ref="A65:I65"/>
    <mergeCell ref="A67:I67"/>
    <mergeCell ref="C68:I68"/>
    <mergeCell ref="C71:I71"/>
    <mergeCell ref="C72:I72"/>
    <mergeCell ref="C74:I74"/>
    <mergeCell ref="C76:I76"/>
    <mergeCell ref="B78:I78"/>
    <mergeCell ref="C79:I79"/>
    <mergeCell ref="B80:I80"/>
    <mergeCell ref="A81:I81"/>
    <mergeCell ref="A83:I83"/>
    <mergeCell ref="A84:I84"/>
    <mergeCell ref="C85:I85"/>
    <mergeCell ref="C86:I86"/>
    <mergeCell ref="A89:I89"/>
    <mergeCell ref="C91:I91"/>
    <mergeCell ref="C92:I92"/>
    <mergeCell ref="C95:I95"/>
    <mergeCell ref="C96:I96"/>
    <mergeCell ref="A97:I97"/>
  </mergeCells>
  <dataValidations count="4">
    <dataValidation allowBlank="false" errorStyle="stop" operator="between" showDropDown="false" showErrorMessage="false" showInputMessage="false" sqref="B27" type="list">
      <formula1>"1. Pre-Dev / Entitlement,2. Construction,3. Lease-Up / Sell-Out,4. Stabilization"</formula1>
      <formula2>0</formula2>
    </dataValidation>
    <dataValidation allowBlank="false" errorStyle="stop" operator="between" showDropDown="false" showErrorMessage="false" showInputMessage="false" sqref="B32" type="list">
      <formula1>"Zip,Neighborhood,City,County,State"</formula1>
      <formula2>0</formula2>
    </dataValidation>
    <dataValidation allowBlank="false" errorStyle="stop" operator="between" showDropDown="false" showErrorMessage="false" showInputMessage="false" sqref="B34" type="list">
      <formula1>"Rates shock,Credit bust"</formula1>
      <formula2>0</formula2>
    </dataValidation>
    <dataValidation allowBlank="false" errorStyle="stop" operator="between" showDropDown="false" showErrorMessage="false" showInputMessage="false" sqref="B35" type="list">
      <formula1>"LOW,BASE,HIGH"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F172A"/>
    <pageSetUpPr fitToPage="false"/>
  </sheetPr>
  <dimension ref="A1:I9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8"/>
    <col collapsed="false" customWidth="true" hidden="false" outlineLevel="0" max="4" min="3" style="0" width="14"/>
    <col collapsed="false" customWidth="true" hidden="false" outlineLevel="0" max="7" min="5" style="0" width="16"/>
    <col collapsed="false" customWidth="true" hidden="false" outlineLevel="0" max="8" min="8" style="0" width="14"/>
    <col collapsed="false" customWidth="true" hidden="false" outlineLevel="0" max="9" min="9" style="0" width="38"/>
  </cols>
  <sheetData>
    <row r="1" customFormat="false" ht="30" hidden="false" customHeight="true" outlineLevel="0" collapsed="false">
      <c r="A1" s="17" t="s">
        <v>369</v>
      </c>
      <c r="B1" s="17"/>
      <c r="C1" s="17"/>
      <c r="D1" s="17"/>
      <c r="E1" s="17"/>
      <c r="F1" s="17"/>
      <c r="G1" s="17"/>
      <c r="H1" s="17"/>
      <c r="I1" s="17"/>
    </row>
    <row r="2" customFormat="false" ht="25.5" hidden="false" customHeight="true" outlineLevel="0" collapsed="false">
      <c r="A2" s="18" t="s">
        <v>370</v>
      </c>
      <c r="B2" s="18"/>
      <c r="C2" s="18"/>
      <c r="D2" s="18"/>
      <c r="E2" s="18"/>
      <c r="F2" s="18"/>
      <c r="G2" s="18"/>
      <c r="H2" s="18"/>
      <c r="I2" s="18"/>
    </row>
    <row r="3" customFormat="false" ht="12" hidden="false" customHeight="true" outlineLevel="0" collapsed="false">
      <c r="A3" s="4" t="s">
        <v>53</v>
      </c>
      <c r="B3" s="4"/>
      <c r="C3" s="4"/>
      <c r="D3" s="4"/>
      <c r="E3" s="4"/>
      <c r="F3" s="4"/>
      <c r="G3" s="4"/>
      <c r="H3" s="4"/>
      <c r="I3" s="4"/>
    </row>
    <row r="5" customFormat="false" ht="18" hidden="false" customHeight="true" outlineLevel="0" collapsed="false">
      <c r="A5" s="3" t="s">
        <v>54</v>
      </c>
      <c r="B5" s="3"/>
      <c r="C5" s="3"/>
      <c r="D5" s="3"/>
      <c r="E5" s="3"/>
      <c r="F5" s="3"/>
      <c r="G5" s="3"/>
      <c r="H5" s="3"/>
      <c r="I5" s="3"/>
    </row>
    <row r="6" customFormat="false" ht="15" hidden="false" customHeight="false" outlineLevel="0" collapsed="false">
      <c r="A6" s="19" t="s">
        <v>55</v>
      </c>
      <c r="B6" s="20" t="s">
        <v>371</v>
      </c>
    </row>
    <row r="7" customFormat="false" ht="15" hidden="false" customHeight="false" outlineLevel="0" collapsed="false">
      <c r="A7" s="19" t="s">
        <v>57</v>
      </c>
      <c r="B7" s="20" t="s">
        <v>204</v>
      </c>
    </row>
    <row r="8" customFormat="false" ht="15" hidden="false" customHeight="false" outlineLevel="0" collapsed="false">
      <c r="A8" s="19" t="s">
        <v>59</v>
      </c>
      <c r="B8" s="20" t="s">
        <v>343</v>
      </c>
    </row>
    <row r="9" customFormat="false" ht="15" hidden="false" customHeight="false" outlineLevel="0" collapsed="false">
      <c r="A9" s="19" t="s">
        <v>61</v>
      </c>
      <c r="B9" s="20" t="s">
        <v>372</v>
      </c>
    </row>
    <row r="10" customFormat="false" ht="15" hidden="false" customHeight="false" outlineLevel="0" collapsed="false">
      <c r="A10" s="21" t="s">
        <v>63</v>
      </c>
      <c r="B10" s="21"/>
      <c r="C10" s="21"/>
      <c r="D10" s="21"/>
      <c r="E10" s="21"/>
      <c r="F10" s="21"/>
      <c r="G10" s="21"/>
      <c r="H10" s="21"/>
      <c r="I10" s="21"/>
    </row>
    <row r="11" customFormat="false" ht="15" hidden="false" customHeight="true" outlineLevel="0" collapsed="false">
      <c r="A11" s="19" t="s">
        <v>64</v>
      </c>
      <c r="B11" s="22" t="n">
        <v>8200000</v>
      </c>
      <c r="C11" s="23" t="s">
        <v>373</v>
      </c>
      <c r="D11" s="23"/>
      <c r="E11" s="23"/>
      <c r="F11" s="23"/>
      <c r="G11" s="23"/>
      <c r="H11" s="23"/>
      <c r="I11" s="23"/>
    </row>
    <row r="12" customFormat="false" ht="15" hidden="false" customHeight="true" outlineLevel="0" collapsed="false">
      <c r="A12" s="19" t="s">
        <v>374</v>
      </c>
      <c r="B12" s="22" t="n">
        <v>13500000</v>
      </c>
      <c r="C12" s="23" t="s">
        <v>375</v>
      </c>
      <c r="D12" s="23"/>
      <c r="E12" s="23"/>
      <c r="F12" s="23"/>
      <c r="G12" s="23"/>
      <c r="H12" s="23"/>
      <c r="I12" s="23"/>
    </row>
    <row r="13" customFormat="false" ht="15" hidden="false" customHeight="false" outlineLevel="0" collapsed="false">
      <c r="A13" s="19" t="s">
        <v>68</v>
      </c>
      <c r="B13" s="22" t="n">
        <v>3100000</v>
      </c>
    </row>
    <row r="14" customFormat="false" ht="15" hidden="false" customHeight="false" outlineLevel="0" collapsed="false">
      <c r="A14" s="19" t="s">
        <v>69</v>
      </c>
      <c r="B14" s="22" t="n">
        <v>700000</v>
      </c>
    </row>
    <row r="15" customFormat="false" ht="15" hidden="false" customHeight="false" outlineLevel="0" collapsed="false">
      <c r="A15" s="19" t="s">
        <v>211</v>
      </c>
      <c r="B15" s="22" t="n">
        <v>500000</v>
      </c>
    </row>
    <row r="16" customFormat="false" ht="15" hidden="false" customHeight="true" outlineLevel="0" collapsed="false">
      <c r="A16" s="24" t="s">
        <v>72</v>
      </c>
      <c r="B16" s="25" t="n">
        <f aca="false">SUM(B11:B15)</f>
        <v>26000000</v>
      </c>
      <c r="C16" s="23" t="s">
        <v>376</v>
      </c>
      <c r="D16" s="23"/>
      <c r="E16" s="23"/>
      <c r="F16" s="23"/>
      <c r="G16" s="23"/>
      <c r="H16" s="23"/>
      <c r="I16" s="23"/>
    </row>
    <row r="17" customFormat="false" ht="15" hidden="false" customHeight="false" outlineLevel="0" collapsed="false">
      <c r="A17" s="21" t="s">
        <v>74</v>
      </c>
      <c r="B17" s="21"/>
      <c r="C17" s="21"/>
      <c r="D17" s="21"/>
      <c r="E17" s="21"/>
      <c r="F17" s="21"/>
      <c r="G17" s="21"/>
      <c r="H17" s="21"/>
      <c r="I17" s="21"/>
    </row>
    <row r="18" customFormat="false" ht="15" hidden="false" customHeight="true" outlineLevel="0" collapsed="false">
      <c r="A18" s="19" t="s">
        <v>75</v>
      </c>
      <c r="B18" s="26" t="n">
        <v>0.6</v>
      </c>
      <c r="C18" s="23" t="s">
        <v>377</v>
      </c>
      <c r="D18" s="23"/>
      <c r="E18" s="23"/>
      <c r="F18" s="23"/>
      <c r="G18" s="23"/>
      <c r="H18" s="23"/>
      <c r="I18" s="23"/>
    </row>
    <row r="19" customFormat="false" ht="15" hidden="false" customHeight="false" outlineLevel="0" collapsed="false">
      <c r="A19" s="19" t="s">
        <v>77</v>
      </c>
      <c r="B19" s="27" t="n">
        <f aca="false">B16*B18</f>
        <v>15600000</v>
      </c>
    </row>
    <row r="20" customFormat="false" ht="15" hidden="false" customHeight="false" outlineLevel="0" collapsed="false">
      <c r="A20" s="19" t="s">
        <v>78</v>
      </c>
      <c r="B20" s="27" t="n">
        <f aca="false">B16-B19</f>
        <v>10400000</v>
      </c>
    </row>
    <row r="21" customFormat="false" ht="15" hidden="false" customHeight="false" outlineLevel="0" collapsed="false">
      <c r="A21" s="21" t="s">
        <v>80</v>
      </c>
      <c r="B21" s="21"/>
      <c r="C21" s="21"/>
      <c r="D21" s="21"/>
      <c r="E21" s="21"/>
      <c r="F21" s="21"/>
      <c r="G21" s="21"/>
      <c r="H21" s="21"/>
      <c r="I21" s="21"/>
    </row>
    <row r="22" customFormat="false" ht="15" hidden="false" customHeight="false" outlineLevel="0" collapsed="false">
      <c r="A22" s="19" t="s">
        <v>81</v>
      </c>
      <c r="B22" s="28" t="n">
        <v>12</v>
      </c>
    </row>
    <row r="23" customFormat="false" ht="15" hidden="false" customHeight="false" outlineLevel="0" collapsed="false">
      <c r="A23" s="19" t="s">
        <v>82</v>
      </c>
      <c r="B23" s="28" t="n">
        <v>12</v>
      </c>
    </row>
    <row r="24" customFormat="false" ht="15" hidden="false" customHeight="false" outlineLevel="0" collapsed="false">
      <c r="A24" s="19" t="s">
        <v>83</v>
      </c>
      <c r="B24" s="28" t="n">
        <v>12</v>
      </c>
    </row>
    <row r="25" customFormat="false" ht="15" hidden="false" customHeight="false" outlineLevel="0" collapsed="false">
      <c r="A25" s="19" t="s">
        <v>84</v>
      </c>
      <c r="B25" s="28" t="n">
        <v>6</v>
      </c>
    </row>
    <row r="26" customFormat="false" ht="15" hidden="false" customHeight="false" outlineLevel="0" collapsed="false">
      <c r="A26" s="19" t="s">
        <v>85</v>
      </c>
      <c r="B26" s="29" t="n">
        <f aca="false">SUM(B22:B25)</f>
        <v>42</v>
      </c>
    </row>
    <row r="27" customFormat="false" ht="15" hidden="false" customHeight="true" outlineLevel="0" collapsed="false">
      <c r="A27" s="19" t="s">
        <v>86</v>
      </c>
      <c r="B27" s="30" t="s">
        <v>82</v>
      </c>
      <c r="C27" s="23" t="s">
        <v>87</v>
      </c>
      <c r="D27" s="23"/>
      <c r="E27" s="23"/>
      <c r="F27" s="23"/>
      <c r="G27" s="23"/>
      <c r="H27" s="23"/>
      <c r="I27" s="23"/>
    </row>
    <row r="28" customFormat="false" ht="15" hidden="false" customHeight="false" outlineLevel="0" collapsed="false">
      <c r="A28" s="21" t="s">
        <v>88</v>
      </c>
      <c r="B28" s="21"/>
      <c r="C28" s="21"/>
      <c r="D28" s="21"/>
      <c r="E28" s="21"/>
      <c r="F28" s="21"/>
      <c r="G28" s="21"/>
      <c r="H28" s="21"/>
      <c r="I28" s="21"/>
    </row>
    <row r="29" customFormat="false" ht="15" hidden="false" customHeight="true" outlineLevel="0" collapsed="false">
      <c r="A29" s="19" t="s">
        <v>89</v>
      </c>
      <c r="B29" s="31" t="n">
        <v>0.05</v>
      </c>
      <c r="C29" s="23" t="s">
        <v>378</v>
      </c>
      <c r="D29" s="23"/>
      <c r="E29" s="23"/>
      <c r="F29" s="23"/>
      <c r="G29" s="23"/>
      <c r="H29" s="23"/>
      <c r="I29" s="23"/>
    </row>
    <row r="30" customFormat="false" ht="15" hidden="false" customHeight="true" outlineLevel="0" collapsed="false">
      <c r="A30" s="19" t="s">
        <v>91</v>
      </c>
      <c r="B30" s="32" t="n">
        <v>0</v>
      </c>
      <c r="C30" s="23" t="s">
        <v>92</v>
      </c>
      <c r="D30" s="23"/>
      <c r="E30" s="23"/>
      <c r="F30" s="23"/>
      <c r="G30" s="23"/>
      <c r="H30" s="23"/>
      <c r="I30" s="23"/>
    </row>
    <row r="31" customFormat="false" ht="15" hidden="false" customHeight="false" outlineLevel="0" collapsed="false">
      <c r="A31" s="21" t="s">
        <v>93</v>
      </c>
      <c r="B31" s="21"/>
      <c r="C31" s="21"/>
      <c r="D31" s="21"/>
      <c r="E31" s="21"/>
      <c r="F31" s="21"/>
      <c r="G31" s="21"/>
      <c r="H31" s="21"/>
      <c r="I31" s="21"/>
    </row>
    <row r="32" customFormat="false" ht="15" hidden="false" customHeight="true" outlineLevel="0" collapsed="false">
      <c r="A32" s="19" t="s">
        <v>94</v>
      </c>
      <c r="B32" s="20" t="s">
        <v>59</v>
      </c>
      <c r="C32" s="23" t="s">
        <v>95</v>
      </c>
      <c r="D32" s="23"/>
      <c r="E32" s="23"/>
      <c r="F32" s="23"/>
      <c r="G32" s="23"/>
      <c r="H32" s="23"/>
      <c r="I32" s="23"/>
    </row>
    <row r="33" customFormat="false" ht="15" hidden="false" customHeight="true" outlineLevel="0" collapsed="false">
      <c r="A33" s="19" t="s">
        <v>96</v>
      </c>
      <c r="B33" s="33" t="n">
        <v>1</v>
      </c>
      <c r="C33" s="23" t="s">
        <v>97</v>
      </c>
      <c r="D33" s="23"/>
      <c r="E33" s="23"/>
      <c r="F33" s="23"/>
      <c r="G33" s="23"/>
      <c r="H33" s="23"/>
      <c r="I33" s="23"/>
    </row>
    <row r="34" customFormat="false" ht="15" hidden="false" customHeight="true" outlineLevel="0" collapsed="false">
      <c r="A34" s="19" t="s">
        <v>98</v>
      </c>
      <c r="B34" s="20" t="s">
        <v>99</v>
      </c>
      <c r="C34" s="23" t="s">
        <v>100</v>
      </c>
      <c r="D34" s="23"/>
      <c r="E34" s="23"/>
      <c r="F34" s="23"/>
      <c r="G34" s="23"/>
      <c r="H34" s="23"/>
      <c r="I34" s="23"/>
    </row>
    <row r="35" customFormat="false" ht="15" hidden="false" customHeight="true" outlineLevel="0" collapsed="false">
      <c r="A35" s="19" t="s">
        <v>101</v>
      </c>
      <c r="B35" s="20" t="s">
        <v>102</v>
      </c>
      <c r="C35" s="23" t="s">
        <v>103</v>
      </c>
      <c r="D35" s="23"/>
      <c r="E35" s="23"/>
      <c r="F35" s="23"/>
      <c r="G35" s="23"/>
      <c r="H35" s="23"/>
      <c r="I35" s="23"/>
    </row>
    <row r="36" customFormat="false" ht="15" hidden="false" customHeight="true" outlineLevel="0" collapsed="false">
      <c r="A36" s="19" t="s">
        <v>104</v>
      </c>
      <c r="B36" s="32" t="n">
        <v>0.01</v>
      </c>
      <c r="C36" s="23" t="s">
        <v>105</v>
      </c>
      <c r="D36" s="23"/>
      <c r="E36" s="23"/>
      <c r="F36" s="23"/>
      <c r="G36" s="23"/>
      <c r="H36" s="23"/>
      <c r="I36" s="23"/>
    </row>
    <row r="38" customFormat="false" ht="18" hidden="false" customHeight="true" outlineLevel="0" collapsed="false">
      <c r="A38" s="3" t="s">
        <v>106</v>
      </c>
      <c r="B38" s="3"/>
      <c r="C38" s="3"/>
      <c r="D38" s="3"/>
      <c r="E38" s="3"/>
      <c r="F38" s="3"/>
      <c r="G38" s="3"/>
      <c r="H38" s="3"/>
      <c r="I38" s="3"/>
    </row>
    <row r="39" customFormat="false" ht="24" hidden="false" customHeight="true" outlineLevel="0" collapsed="false">
      <c r="A39" s="34" t="s">
        <v>107</v>
      </c>
      <c r="B39" s="34" t="s">
        <v>108</v>
      </c>
      <c r="C39" s="34" t="s">
        <v>109</v>
      </c>
      <c r="D39" s="34" t="s">
        <v>110</v>
      </c>
      <c r="E39" s="35" t="s">
        <v>111</v>
      </c>
      <c r="F39" s="35"/>
      <c r="G39" s="35"/>
      <c r="H39" s="35" t="s">
        <v>112</v>
      </c>
      <c r="I39" s="35"/>
    </row>
    <row r="40" customFormat="false" ht="24" hidden="false" customHeight="true" outlineLevel="0" collapsed="false">
      <c r="A40" s="36" t="s">
        <v>81</v>
      </c>
      <c r="B40" s="37" t="n">
        <f aca="false">B22</f>
        <v>12</v>
      </c>
      <c r="C40" s="38" t="n">
        <v>0.35</v>
      </c>
      <c r="D40" s="39" t="n">
        <f aca="false">C40*$B$16</f>
        <v>9100000</v>
      </c>
      <c r="E40" s="40" t="s">
        <v>379</v>
      </c>
      <c r="F40" s="40"/>
      <c r="G40" s="40"/>
      <c r="H40" s="40" t="s">
        <v>380</v>
      </c>
      <c r="I40" s="40"/>
    </row>
    <row r="41" customFormat="false" ht="24" hidden="false" customHeight="true" outlineLevel="0" collapsed="false">
      <c r="A41" s="36" t="s">
        <v>82</v>
      </c>
      <c r="B41" s="37" t="n">
        <f aca="false">B23</f>
        <v>12</v>
      </c>
      <c r="C41" s="38" t="n">
        <v>0.97</v>
      </c>
      <c r="D41" s="39" t="n">
        <f aca="false">C41*$B$16</f>
        <v>25220000</v>
      </c>
      <c r="E41" s="40" t="s">
        <v>351</v>
      </c>
      <c r="F41" s="40"/>
      <c r="G41" s="40"/>
      <c r="H41" s="40" t="s">
        <v>352</v>
      </c>
      <c r="I41" s="40"/>
    </row>
    <row r="42" customFormat="false" ht="24" hidden="false" customHeight="true" outlineLevel="0" collapsed="false">
      <c r="A42" s="36" t="s">
        <v>83</v>
      </c>
      <c r="B42" s="37" t="n">
        <f aca="false">B24</f>
        <v>12</v>
      </c>
      <c r="C42" s="38" t="n">
        <v>1</v>
      </c>
      <c r="D42" s="39" t="n">
        <f aca="false">C42*$B$16</f>
        <v>26000000</v>
      </c>
      <c r="E42" s="40" t="s">
        <v>381</v>
      </c>
      <c r="F42" s="40"/>
      <c r="G42" s="40"/>
      <c r="H42" s="40" t="s">
        <v>382</v>
      </c>
      <c r="I42" s="40"/>
    </row>
    <row r="43" customFormat="false" ht="24" hidden="false" customHeight="true" outlineLevel="0" collapsed="false">
      <c r="A43" s="36" t="s">
        <v>84</v>
      </c>
      <c r="B43" s="37" t="n">
        <f aca="false">B25</f>
        <v>6</v>
      </c>
      <c r="C43" s="38" t="n">
        <v>1</v>
      </c>
      <c r="D43" s="39" t="n">
        <f aca="false">C43*$B$16</f>
        <v>26000000</v>
      </c>
      <c r="E43" s="40" t="s">
        <v>355</v>
      </c>
      <c r="F43" s="40"/>
      <c r="G43" s="40"/>
      <c r="H43" s="40" t="s">
        <v>321</v>
      </c>
      <c r="I43" s="40"/>
    </row>
    <row r="44" customFormat="false" ht="21.75" hidden="false" customHeight="true" outlineLevel="0" collapsed="false">
      <c r="A44" s="4" t="s">
        <v>121</v>
      </c>
      <c r="B44" s="4"/>
      <c r="C44" s="4"/>
      <c r="D44" s="4"/>
      <c r="E44" s="4"/>
      <c r="F44" s="4"/>
      <c r="G44" s="4"/>
      <c r="H44" s="4"/>
      <c r="I44" s="4"/>
    </row>
    <row r="46" customFormat="false" ht="18" hidden="false" customHeight="true" outlineLevel="0" collapsed="false">
      <c r="A46" s="3" t="s">
        <v>122</v>
      </c>
      <c r="B46" s="3"/>
      <c r="C46" s="3"/>
      <c r="D46" s="3"/>
      <c r="E46" s="3"/>
      <c r="F46" s="3"/>
      <c r="G46" s="3"/>
      <c r="H46" s="3"/>
      <c r="I46" s="3"/>
    </row>
    <row r="47" customFormat="false" ht="15" hidden="false" customHeight="true" outlineLevel="0" collapsed="false">
      <c r="A47" s="19" t="s">
        <v>356</v>
      </c>
      <c r="B47" s="41" t="n">
        <f aca="false">INDEX(Methodology!$B$14:$D$14,MIN(3,IF($B$35="LOW",1,IF($B$35="BASE",2,3))+IF($B$34="Credit bust",1,0)))</f>
        <v>0.3</v>
      </c>
      <c r="C47" s="23" t="s">
        <v>124</v>
      </c>
      <c r="D47" s="23"/>
      <c r="E47" s="23"/>
      <c r="F47" s="23"/>
      <c r="G47" s="23"/>
      <c r="H47" s="23"/>
      <c r="I47" s="23"/>
    </row>
    <row r="48" customFormat="false" ht="15" hidden="false" customHeight="true" outlineLevel="0" collapsed="false">
      <c r="A48" s="19" t="s">
        <v>125</v>
      </c>
      <c r="B48" s="42" t="n">
        <f aca="false">Methodology!$H$14</f>
        <v>0.07</v>
      </c>
      <c r="C48" s="23" t="s">
        <v>126</v>
      </c>
      <c r="D48" s="23"/>
      <c r="E48" s="23"/>
      <c r="F48" s="23"/>
      <c r="G48" s="23"/>
      <c r="H48" s="23"/>
      <c r="I48" s="23"/>
    </row>
    <row r="49" customFormat="false" ht="15" hidden="false" customHeight="true" outlineLevel="0" collapsed="false">
      <c r="A49" s="19" t="s">
        <v>127</v>
      </c>
      <c r="B49" s="43" t="n">
        <f aca="false">Methodology!$I$14</f>
        <v>0.15</v>
      </c>
      <c r="C49" s="23" t="s">
        <v>128</v>
      </c>
      <c r="D49" s="23"/>
      <c r="E49" s="23"/>
      <c r="F49" s="23"/>
      <c r="G49" s="23"/>
      <c r="H49" s="23"/>
      <c r="I49" s="23"/>
    </row>
    <row r="50" customFormat="false" ht="15" hidden="false" customHeight="true" outlineLevel="0" collapsed="false">
      <c r="A50" s="19" t="s">
        <v>129</v>
      </c>
      <c r="B50" s="44" t="n">
        <f aca="false">INDEX(Methodology!$E$20:$E$23,MATCH($B$27,Methodology!$A$20:$A$23,0))</f>
        <v>0.5</v>
      </c>
      <c r="C50" s="23" t="s">
        <v>130</v>
      </c>
      <c r="D50" s="23"/>
      <c r="E50" s="23"/>
      <c r="F50" s="23"/>
      <c r="G50" s="23"/>
      <c r="H50" s="23"/>
      <c r="I50" s="23"/>
    </row>
    <row r="51" customFormat="false" ht="15" hidden="false" customHeight="true" outlineLevel="0" collapsed="false">
      <c r="A51" s="19" t="s">
        <v>131</v>
      </c>
      <c r="B51" s="26"/>
      <c r="C51" s="23" t="s">
        <v>132</v>
      </c>
      <c r="D51" s="23"/>
      <c r="E51" s="23"/>
      <c r="F51" s="23"/>
      <c r="G51" s="23"/>
      <c r="H51" s="23"/>
      <c r="I51" s="23"/>
    </row>
    <row r="52" customFormat="false" ht="15" hidden="false" customHeight="false" outlineLevel="0" collapsed="false">
      <c r="A52" s="24" t="s">
        <v>133</v>
      </c>
      <c r="B52" s="45" t="n">
        <f aca="false">MIN(IF($B$51="",$B$50,$B$51),$B$49)</f>
        <v>0.15</v>
      </c>
      <c r="C52" s="46" t="str">
        <f aca="false">IF(AND($B$51&lt;&gt;"",$B$51&gt;$B$49),"Note: override silently capped at F_max = "&amp;TEXT($B$49,"0%"),"")</f>
        <v/>
      </c>
      <c r="D52" s="46"/>
      <c r="E52" s="46"/>
      <c r="F52" s="46"/>
      <c r="G52" s="46"/>
      <c r="H52" s="46"/>
      <c r="I52" s="46"/>
    </row>
    <row r="53" customFormat="false" ht="15" hidden="false" customHeight="true" outlineLevel="0" collapsed="false">
      <c r="A53" s="19" t="s">
        <v>134</v>
      </c>
      <c r="B53" s="47" t="n">
        <v>26000000</v>
      </c>
      <c r="C53" s="23" t="s">
        <v>383</v>
      </c>
      <c r="D53" s="23"/>
      <c r="E53" s="23"/>
      <c r="F53" s="23"/>
      <c r="G53" s="23"/>
      <c r="H53" s="23"/>
      <c r="I53" s="23"/>
    </row>
    <row r="54" customFormat="false" ht="15" hidden="false" customHeight="true" outlineLevel="0" collapsed="false">
      <c r="A54" s="19" t="s">
        <v>136</v>
      </c>
      <c r="B54" s="27" t="n">
        <f aca="false">INDEX($D$40:$D$43,MATCH($B$27,$A$40:$A$43,0))</f>
        <v>25220000</v>
      </c>
      <c r="C54" s="23" t="s">
        <v>137</v>
      </c>
      <c r="D54" s="23"/>
      <c r="E54" s="23"/>
      <c r="F54" s="23"/>
      <c r="G54" s="23"/>
      <c r="H54" s="23"/>
      <c r="I54" s="23"/>
    </row>
    <row r="55" customFormat="false" ht="15" hidden="false" customHeight="false" outlineLevel="0" collapsed="false">
      <c r="A55" s="19" t="s">
        <v>138</v>
      </c>
      <c r="B55" s="48" t="n">
        <f aca="false">B47*B33</f>
        <v>0.3</v>
      </c>
    </row>
    <row r="56" customFormat="false" ht="15" hidden="false" customHeight="true" outlineLevel="0" collapsed="false">
      <c r="A56" s="24" t="s">
        <v>139</v>
      </c>
      <c r="B56" s="25" t="n">
        <f aca="false">B53*B55*B29*B52</f>
        <v>58500</v>
      </c>
      <c r="C56" s="23" t="s">
        <v>140</v>
      </c>
      <c r="D56" s="23"/>
      <c r="E56" s="23"/>
      <c r="F56" s="23"/>
      <c r="G56" s="23"/>
      <c r="H56" s="23"/>
      <c r="I56" s="23"/>
    </row>
    <row r="57" customFormat="false" ht="15" hidden="false" customHeight="true" outlineLevel="0" collapsed="false">
      <c r="A57" s="19" t="s">
        <v>141</v>
      </c>
      <c r="B57" s="49" t="n">
        <f aca="false">B48*B52</f>
        <v>0.0105</v>
      </c>
      <c r="C57" s="23" t="s">
        <v>142</v>
      </c>
      <c r="D57" s="23"/>
      <c r="E57" s="23"/>
      <c r="F57" s="23"/>
      <c r="G57" s="23"/>
      <c r="H57" s="23"/>
      <c r="I57" s="23"/>
    </row>
    <row r="59" customFormat="false" ht="15" hidden="false" customHeight="false" outlineLevel="0" collapsed="false">
      <c r="A59" s="21" t="s">
        <v>143</v>
      </c>
      <c r="B59" s="21"/>
      <c r="C59" s="21"/>
      <c r="D59" s="21"/>
      <c r="E59" s="21"/>
      <c r="F59" s="21"/>
      <c r="G59" s="21"/>
      <c r="H59" s="21"/>
      <c r="I59" s="21"/>
    </row>
    <row r="60" customFormat="false" ht="24" hidden="false" customHeight="true" outlineLevel="0" collapsed="false">
      <c r="A60" s="34" t="s">
        <v>144</v>
      </c>
      <c r="B60" s="34" t="s">
        <v>145</v>
      </c>
      <c r="C60" s="34" t="s">
        <v>146</v>
      </c>
      <c r="D60" s="34" t="s">
        <v>147</v>
      </c>
      <c r="E60" s="34" t="s">
        <v>148</v>
      </c>
      <c r="F60" s="34" t="s">
        <v>149</v>
      </c>
      <c r="G60" s="34" t="s">
        <v>150</v>
      </c>
      <c r="H60" s="34" t="s">
        <v>151</v>
      </c>
      <c r="I60" s="34" t="s">
        <v>152</v>
      </c>
    </row>
    <row r="61" customFormat="false" ht="15" hidden="false" customHeight="false" outlineLevel="0" collapsed="false">
      <c r="A61" s="50" t="n">
        <v>0.02</v>
      </c>
      <c r="B61" s="51" t="n">
        <v>0.18</v>
      </c>
      <c r="C61" s="52" t="n">
        <f aca="false">B61*(1+$B$36)</f>
        <v>0.1818</v>
      </c>
      <c r="D61" s="38" t="n">
        <v>0.4</v>
      </c>
      <c r="E61" s="39" t="n">
        <f aca="false">$B$56*D61</f>
        <v>23400</v>
      </c>
      <c r="F61" s="53" t="n">
        <f aca="false">ROUNDUP(E61/(1-C61),0)</f>
        <v>28600</v>
      </c>
      <c r="G61" s="39" t="n">
        <f aca="false">F61*C61</f>
        <v>5199.48</v>
      </c>
      <c r="H61" s="54" t="n">
        <v>50000</v>
      </c>
      <c r="I61" s="55" t="str">
        <f aca="false">IF(F61&gt;10*H61,"THIN BOOK — split tenors/levels","OK")</f>
        <v>OK</v>
      </c>
    </row>
    <row r="62" customFormat="false" ht="15" hidden="false" customHeight="false" outlineLevel="0" collapsed="false">
      <c r="A62" s="50" t="n">
        <v>0.035</v>
      </c>
      <c r="B62" s="51" t="n">
        <v>0.12</v>
      </c>
      <c r="C62" s="52" t="n">
        <f aca="false">B62*(1+$B$36)</f>
        <v>0.1212</v>
      </c>
      <c r="D62" s="38" t="n">
        <v>0.35</v>
      </c>
      <c r="E62" s="39" t="n">
        <f aca="false">$B$56*D62</f>
        <v>20475</v>
      </c>
      <c r="F62" s="53" t="n">
        <f aca="false">ROUNDUP(E62/(1-C62),0)</f>
        <v>23299</v>
      </c>
      <c r="G62" s="39" t="n">
        <f aca="false">F62*C62</f>
        <v>2823.8388</v>
      </c>
      <c r="H62" s="54" t="n">
        <v>50000</v>
      </c>
      <c r="I62" s="55" t="str">
        <f aca="false">IF(F62&gt;10*H62,"THIN BOOK — split tenors/levels","OK")</f>
        <v>OK</v>
      </c>
    </row>
    <row r="63" customFormat="false" ht="15" hidden="false" customHeight="false" outlineLevel="0" collapsed="false">
      <c r="A63" s="50" t="n">
        <v>0.05</v>
      </c>
      <c r="B63" s="51" t="n">
        <v>0.07</v>
      </c>
      <c r="C63" s="52" t="n">
        <f aca="false">B63*(1+$B$36)</f>
        <v>0.0707</v>
      </c>
      <c r="D63" s="38" t="n">
        <v>0.25</v>
      </c>
      <c r="E63" s="39" t="n">
        <f aca="false">$B$56*D63</f>
        <v>14625</v>
      </c>
      <c r="F63" s="53" t="n">
        <f aca="false">ROUNDUP(E63/(1-C63),0)</f>
        <v>15738</v>
      </c>
      <c r="G63" s="39" t="n">
        <f aca="false">F63*C63</f>
        <v>1112.6766</v>
      </c>
      <c r="H63" s="54" t="n">
        <v>50000</v>
      </c>
      <c r="I63" s="55" t="str">
        <f aca="false">IF(F63&gt;10*H63,"THIN BOOK — split tenors/levels","OK")</f>
        <v>OK</v>
      </c>
    </row>
    <row r="64" customFormat="false" ht="15" hidden="false" customHeight="false" outlineLevel="0" collapsed="false">
      <c r="A64" s="15" t="s">
        <v>153</v>
      </c>
      <c r="D64" s="56" t="n">
        <f aca="false">SUM(D61:D63)</f>
        <v>1</v>
      </c>
      <c r="E64" s="57" t="n">
        <f aca="false">SUM(E61:E63)</f>
        <v>58500</v>
      </c>
      <c r="F64" s="58" t="n">
        <f aca="false">SUM(F61:F63)</f>
        <v>67637</v>
      </c>
      <c r="G64" s="57" t="n">
        <f aca="false">SUM(G61:G63)</f>
        <v>9135.9954</v>
      </c>
    </row>
    <row r="65" customFormat="false" ht="15" hidden="false" customHeight="false" outlineLevel="0" collapsed="false">
      <c r="A65" s="59" t="str">
        <f aca="false">IF(AND(ROUND(SUM(D61:D63),4)=1,$B$30&lt;A61,A61&lt;=A62,A62&lt;=A63,ROUND(A63,4)=ROUND($B$29,4)),"Ladder checks: OK (allocations sum to 100%; attach &lt; K1 ≤ K2 ≤ K3 = d)","WARNING — fix the ladder: allocations must sum to 100%; strikes must run shallow → deep; attach a &lt; first strike; deepest strike must equal d")</f>
        <v>Ladder checks: OK (allocations sum to 100%; attach &lt; K1 ≤ K2 ≤ K3 = d)</v>
      </c>
      <c r="B65" s="59"/>
      <c r="C65" s="59"/>
      <c r="D65" s="59"/>
      <c r="E65" s="59"/>
      <c r="F65" s="59"/>
      <c r="G65" s="59"/>
      <c r="H65" s="59"/>
      <c r="I65" s="59"/>
    </row>
    <row r="67" customFormat="false" ht="15" hidden="false" customHeight="false" outlineLevel="0" collapsed="false">
      <c r="A67" s="21" t="s">
        <v>154</v>
      </c>
      <c r="B67" s="21"/>
      <c r="C67" s="21"/>
      <c r="D67" s="21"/>
      <c r="E67" s="21"/>
      <c r="F67" s="21"/>
      <c r="G67" s="21"/>
      <c r="H67" s="21"/>
      <c r="I67" s="21"/>
    </row>
    <row r="68" customFormat="false" ht="15" hidden="false" customHeight="true" outlineLevel="0" collapsed="false">
      <c r="A68" s="19" t="s">
        <v>155</v>
      </c>
      <c r="B68" s="60" t="n">
        <f aca="false">F64</f>
        <v>67637</v>
      </c>
      <c r="C68" s="23" t="s">
        <v>156</v>
      </c>
      <c r="D68" s="23"/>
      <c r="E68" s="23"/>
      <c r="F68" s="23"/>
      <c r="G68" s="23"/>
      <c r="H68" s="23"/>
      <c r="I68" s="23"/>
    </row>
    <row r="69" customFormat="false" ht="15" hidden="false" customHeight="false" outlineLevel="0" collapsed="false">
      <c r="A69" s="19" t="s">
        <v>157</v>
      </c>
      <c r="B69" s="27" t="n">
        <f aca="false">F64</f>
        <v>67637</v>
      </c>
    </row>
    <row r="70" customFormat="false" ht="15" hidden="false" customHeight="false" outlineLevel="0" collapsed="false">
      <c r="A70" s="24" t="s">
        <v>158</v>
      </c>
      <c r="B70" s="25" t="n">
        <f aca="false">G64</f>
        <v>9135.9954</v>
      </c>
    </row>
    <row r="71" customFormat="false" ht="15" hidden="false" customHeight="true" outlineLevel="0" collapsed="false">
      <c r="A71" s="19" t="s">
        <v>159</v>
      </c>
      <c r="B71" s="61" t="n">
        <f aca="false">B70/$B$16</f>
        <v>0.000351384438461538</v>
      </c>
      <c r="C71" s="23" t="s">
        <v>160</v>
      </c>
      <c r="D71" s="23"/>
      <c r="E71" s="23"/>
      <c r="F71" s="23"/>
      <c r="G71" s="23"/>
      <c r="H71" s="23"/>
      <c r="I71" s="23"/>
    </row>
    <row r="72" customFormat="false" ht="15" hidden="false" customHeight="true" outlineLevel="0" collapsed="false">
      <c r="A72" s="19" t="s">
        <v>161</v>
      </c>
      <c r="B72" s="61" t="n">
        <f aca="false">B70/$B$53</f>
        <v>0.000351384438461538</v>
      </c>
      <c r="C72" s="23" t="s">
        <v>162</v>
      </c>
      <c r="D72" s="23"/>
      <c r="E72" s="23"/>
      <c r="F72" s="23"/>
      <c r="G72" s="23"/>
      <c r="H72" s="23"/>
      <c r="I72" s="23"/>
    </row>
    <row r="73" customFormat="false" ht="15" hidden="false" customHeight="false" outlineLevel="0" collapsed="false">
      <c r="A73" s="19" t="s">
        <v>163</v>
      </c>
      <c r="B73" s="27" t="n">
        <f aca="false">SUMPRODUCT(($A$61:$A$63&lt;=$B$29)*$F$61:$F$63)</f>
        <v>67637</v>
      </c>
    </row>
    <row r="74" customFormat="false" ht="15" hidden="false" customHeight="true" outlineLevel="0" collapsed="false">
      <c r="A74" s="24" t="s">
        <v>164</v>
      </c>
      <c r="B74" s="25" t="n">
        <f aca="false">B73-B70</f>
        <v>58501.0046</v>
      </c>
      <c r="C74" s="23" t="s">
        <v>165</v>
      </c>
      <c r="D74" s="23"/>
      <c r="E74" s="23"/>
      <c r="F74" s="23"/>
      <c r="G74" s="23"/>
      <c r="H74" s="23"/>
      <c r="I74" s="23"/>
    </row>
    <row r="75" customFormat="false" ht="15" hidden="false" customHeight="false" outlineLevel="0" collapsed="false">
      <c r="A75" s="19" t="s">
        <v>166</v>
      </c>
      <c r="B75" s="27" t="n">
        <f aca="false">B53*B55*MAX(B29-B30,0)</f>
        <v>390000</v>
      </c>
    </row>
    <row r="76" customFormat="false" ht="15" hidden="false" customHeight="true" outlineLevel="0" collapsed="false">
      <c r="A76" s="19" t="s">
        <v>167</v>
      </c>
      <c r="B76" s="27" t="n">
        <f aca="false">B75-B74</f>
        <v>331498.9954</v>
      </c>
      <c r="C76" s="23" t="s">
        <v>168</v>
      </c>
      <c r="D76" s="23"/>
      <c r="E76" s="23"/>
      <c r="F76" s="23"/>
      <c r="G76" s="23"/>
      <c r="H76" s="23"/>
      <c r="I76" s="23"/>
    </row>
    <row r="77" customFormat="false" ht="15" hidden="false" customHeight="false" outlineLevel="0" collapsed="false">
      <c r="A77" s="19" t="s">
        <v>169</v>
      </c>
      <c r="B77" s="62" t="n">
        <f aca="false">B74/MAX(B75,1)</f>
        <v>0.150002575897436</v>
      </c>
    </row>
    <row r="78" customFormat="false" ht="19.5" hidden="false" customHeight="true" outlineLevel="0" collapsed="false">
      <c r="A78" s="24" t="s">
        <v>170</v>
      </c>
      <c r="B78" s="69" t="str">
        <f aca="false">IF($B$48&lt;0.15,"WEAK PROXY HEDGE — HE = "&amp;TEXT($B$48,"0.000")&amp;": a ZHVI hedge removes little of this risk. Consider hedging only the housing-linked slice of the exposure, or not hedging with ZHVI binaries.","OK — HE ≥ 0.15")</f>
        <v>WEAK PROXY HEDGE — HE = 0.070: a ZHVI hedge removes little of this risk. Consider hedging only the housing-linked slice of the exposure, or not hedging with ZHVI binaries.</v>
      </c>
      <c r="C78" s="69"/>
      <c r="D78" s="69"/>
      <c r="E78" s="69"/>
      <c r="F78" s="69"/>
      <c r="G78" s="69"/>
      <c r="H78" s="69"/>
      <c r="I78" s="69"/>
    </row>
    <row r="79" customFormat="false" ht="15" hidden="false" customHeight="false" outlineLevel="0" collapsed="false">
      <c r="A79" s="24" t="s">
        <v>171</v>
      </c>
      <c r="B79" s="64" t="n">
        <f aca="false">INDEX(Methodology!$B$28:$B$32,MATCH($B$32,Methodology!$A$28:$A$32,0))</f>
        <v>50000</v>
      </c>
      <c r="C79" s="63" t="str">
        <f aca="false">IF($B$56&lt;B79,"Coverage target is below this level's capitalization floor — the book may not exist; move up a level.","OK — coverage ≥ the level floor ($5k zip / $50k city-county / $100k state)")</f>
        <v>OK — coverage ≥ the level floor ($5k zip / $50k city-county / $100k state)</v>
      </c>
      <c r="D79" s="63"/>
      <c r="E79" s="63"/>
      <c r="F79" s="63"/>
      <c r="G79" s="63"/>
      <c r="H79" s="63"/>
      <c r="I79" s="63"/>
    </row>
    <row r="80" customFormat="false" ht="15" hidden="false" customHeight="false" outlineLevel="0" collapsed="false">
      <c r="A80" s="24" t="s">
        <v>172</v>
      </c>
      <c r="B80" s="63" t="str">
        <f aca="false">IF(COUNTIF($I$61:$I$63,"OK")=3,"OK — every strike within 10× resting book depth","THIN BOOK on ≥1 strike — split across tenors/levels, use the county/state book, or stagger entry")</f>
        <v>OK — every strike within 10× resting book depth</v>
      </c>
      <c r="C80" s="63"/>
      <c r="D80" s="63"/>
      <c r="E80" s="63"/>
      <c r="F80" s="63"/>
      <c r="G80" s="63"/>
      <c r="H80" s="63"/>
      <c r="I80" s="63"/>
    </row>
    <row r="81" customFormat="false" ht="21.75" hidden="false" customHeight="true" outlineLevel="0" collapsed="false">
      <c r="A81" s="4" t="s">
        <v>384</v>
      </c>
      <c r="B81" s="4"/>
      <c r="C81" s="4"/>
      <c r="D81" s="4"/>
      <c r="E81" s="4"/>
      <c r="F81" s="4"/>
      <c r="G81" s="4"/>
      <c r="H81" s="4"/>
      <c r="I81" s="4"/>
    </row>
    <row r="83" customFormat="false" ht="18" hidden="false" customHeight="true" outlineLevel="0" collapsed="false">
      <c r="A83" s="3" t="s">
        <v>174</v>
      </c>
      <c r="B83" s="3"/>
      <c r="C83" s="3"/>
      <c r="D83" s="3"/>
      <c r="E83" s="3"/>
      <c r="F83" s="3"/>
      <c r="G83" s="3"/>
      <c r="H83" s="3"/>
      <c r="I83" s="3"/>
    </row>
    <row r="84" customFormat="false" ht="15" hidden="false" customHeight="false" outlineLevel="0" collapsed="false">
      <c r="A84" s="21" t="s">
        <v>385</v>
      </c>
      <c r="B84" s="21"/>
      <c r="C84" s="21"/>
      <c r="D84" s="21"/>
      <c r="E84" s="21"/>
      <c r="F84" s="21"/>
      <c r="G84" s="21"/>
      <c r="H84" s="21"/>
      <c r="I84" s="21"/>
    </row>
    <row r="85" customFormat="false" ht="15" hidden="false" customHeight="true" outlineLevel="0" collapsed="false">
      <c r="A85" s="19" t="s">
        <v>360</v>
      </c>
      <c r="B85" s="65" t="n">
        <v>150000</v>
      </c>
      <c r="C85" s="23" t="s">
        <v>386</v>
      </c>
      <c r="D85" s="23"/>
      <c r="E85" s="23"/>
      <c r="F85" s="23"/>
      <c r="G85" s="23"/>
      <c r="H85" s="23"/>
      <c r="I85" s="23"/>
    </row>
    <row r="86" customFormat="false" ht="15" hidden="false" customHeight="true" outlineLevel="0" collapsed="false">
      <c r="A86" s="19" t="s">
        <v>362</v>
      </c>
      <c r="B86" s="70" t="n">
        <v>12.96</v>
      </c>
      <c r="C86" s="23" t="s">
        <v>387</v>
      </c>
      <c r="D86" s="23"/>
      <c r="E86" s="23"/>
      <c r="F86" s="23"/>
      <c r="G86" s="23"/>
      <c r="H86" s="23"/>
      <c r="I86" s="23"/>
    </row>
    <row r="87" customFormat="false" ht="15" hidden="false" customHeight="false" outlineLevel="0" collapsed="false">
      <c r="A87" s="19" t="s">
        <v>289</v>
      </c>
      <c r="B87" s="32" t="n">
        <v>0.97</v>
      </c>
    </row>
    <row r="88" customFormat="false" ht="15" hidden="false" customHeight="false" outlineLevel="0" collapsed="false">
      <c r="A88" s="24" t="s">
        <v>184</v>
      </c>
      <c r="B88" s="25" t="n">
        <f aca="false">B85*B86*B87</f>
        <v>1885680</v>
      </c>
    </row>
    <row r="89" customFormat="false" ht="15" hidden="false" customHeight="false" outlineLevel="0" collapsed="false">
      <c r="A89" s="21" t="s">
        <v>185</v>
      </c>
      <c r="B89" s="21"/>
      <c r="C89" s="21"/>
      <c r="D89" s="21"/>
      <c r="E89" s="21"/>
      <c r="F89" s="21"/>
      <c r="G89" s="21"/>
      <c r="H89" s="21"/>
      <c r="I89" s="21"/>
    </row>
    <row r="90" customFormat="false" ht="15" hidden="false" customHeight="false" outlineLevel="0" collapsed="false">
      <c r="A90" s="19" t="s">
        <v>291</v>
      </c>
      <c r="B90" s="61" t="n">
        <f aca="false">B88/$B$16</f>
        <v>0.0725261538461539</v>
      </c>
    </row>
    <row r="91" customFormat="false" ht="15" hidden="false" customHeight="true" outlineLevel="0" collapsed="false">
      <c r="A91" s="19" t="s">
        <v>188</v>
      </c>
      <c r="B91" s="66" t="n">
        <v>0.05375</v>
      </c>
      <c r="C91" s="23" t="s">
        <v>388</v>
      </c>
      <c r="D91" s="23"/>
      <c r="E91" s="23"/>
      <c r="F91" s="23"/>
      <c r="G91" s="23"/>
      <c r="H91" s="23"/>
      <c r="I91" s="23"/>
    </row>
    <row r="92" customFormat="false" ht="15" hidden="false" customHeight="true" outlineLevel="0" collapsed="false">
      <c r="A92" s="19" t="s">
        <v>190</v>
      </c>
      <c r="B92" s="67" t="n">
        <f aca="false">(B90-B91)*10000</f>
        <v>187.761538461539</v>
      </c>
      <c r="C92" s="23" t="s">
        <v>389</v>
      </c>
      <c r="D92" s="23"/>
      <c r="E92" s="23"/>
      <c r="F92" s="23"/>
      <c r="G92" s="23"/>
      <c r="H92" s="23"/>
      <c r="I92" s="23"/>
    </row>
    <row r="93" customFormat="false" ht="15" hidden="false" customHeight="false" outlineLevel="0" collapsed="false">
      <c r="A93" s="19" t="s">
        <v>296</v>
      </c>
      <c r="B93" s="66" t="n">
        <v>0.065</v>
      </c>
    </row>
    <row r="94" customFormat="false" ht="15" hidden="false" customHeight="false" outlineLevel="0" collapsed="false">
      <c r="A94" s="19" t="s">
        <v>297</v>
      </c>
      <c r="B94" s="27" t="n">
        <f aca="false">$B$19*B93</f>
        <v>1014000</v>
      </c>
    </row>
    <row r="95" customFormat="false" ht="15" hidden="false" customHeight="true" outlineLevel="0" collapsed="false">
      <c r="A95" s="19" t="s">
        <v>298</v>
      </c>
      <c r="B95" s="68" t="n">
        <f aca="false">B88/B94</f>
        <v>1.8596449704142</v>
      </c>
      <c r="C95" s="23" t="s">
        <v>366</v>
      </c>
      <c r="D95" s="23"/>
      <c r="E95" s="23"/>
      <c r="F95" s="23"/>
      <c r="G95" s="23"/>
      <c r="H95" s="23"/>
      <c r="I95" s="23"/>
    </row>
    <row r="96" customFormat="false" ht="15" hidden="false" customHeight="true" outlineLevel="0" collapsed="false">
      <c r="A96" s="19" t="s">
        <v>196</v>
      </c>
      <c r="B96" s="61" t="n">
        <f aca="false">B88/$B$19</f>
        <v>0.120876923076923</v>
      </c>
      <c r="C96" s="23" t="s">
        <v>367</v>
      </c>
      <c r="D96" s="23"/>
      <c r="E96" s="23"/>
      <c r="F96" s="23"/>
      <c r="G96" s="23"/>
      <c r="H96" s="23"/>
      <c r="I96" s="23"/>
    </row>
    <row r="97" customFormat="false" ht="15" hidden="false" customHeight="true" outlineLevel="0" collapsed="false">
      <c r="A97" s="19" t="s">
        <v>390</v>
      </c>
      <c r="B97" s="27" t="n">
        <f aca="false">B85*0.9*12*B87</f>
        <v>1571400</v>
      </c>
      <c r="C97" s="23" t="s">
        <v>391</v>
      </c>
      <c r="D97" s="23"/>
      <c r="E97" s="23"/>
      <c r="F97" s="23"/>
      <c r="G97" s="23"/>
      <c r="H97" s="23"/>
      <c r="I97" s="23"/>
    </row>
    <row r="98" customFormat="false" ht="21.75" hidden="false" customHeight="true" outlineLevel="0" collapsed="false">
      <c r="A98" s="4" t="s">
        <v>392</v>
      </c>
      <c r="B98" s="4"/>
      <c r="C98" s="4"/>
      <c r="D98" s="4"/>
      <c r="E98" s="4"/>
      <c r="F98" s="4"/>
      <c r="G98" s="4"/>
      <c r="H98" s="4"/>
      <c r="I98" s="4"/>
    </row>
  </sheetData>
  <mergeCells count="67">
    <mergeCell ref="A1:I1"/>
    <mergeCell ref="A2:I2"/>
    <mergeCell ref="A3:I3"/>
    <mergeCell ref="A5:I5"/>
    <mergeCell ref="A10:I10"/>
    <mergeCell ref="C11:I11"/>
    <mergeCell ref="C12:I12"/>
    <mergeCell ref="C16:I16"/>
    <mergeCell ref="A17:I17"/>
    <mergeCell ref="C18:I18"/>
    <mergeCell ref="A21:I21"/>
    <mergeCell ref="C27:I27"/>
    <mergeCell ref="A28:I28"/>
    <mergeCell ref="C29:I29"/>
    <mergeCell ref="C30:I30"/>
    <mergeCell ref="A31:I31"/>
    <mergeCell ref="C32:I32"/>
    <mergeCell ref="C33:I33"/>
    <mergeCell ref="C34:I34"/>
    <mergeCell ref="C35:I35"/>
    <mergeCell ref="C36:I36"/>
    <mergeCell ref="A38:I38"/>
    <mergeCell ref="E39:G39"/>
    <mergeCell ref="H39:I39"/>
    <mergeCell ref="E40:G40"/>
    <mergeCell ref="H40:I40"/>
    <mergeCell ref="E41:G41"/>
    <mergeCell ref="H41:I41"/>
    <mergeCell ref="E42:G42"/>
    <mergeCell ref="H42:I42"/>
    <mergeCell ref="E43:G43"/>
    <mergeCell ref="H43:I43"/>
    <mergeCell ref="A44:I44"/>
    <mergeCell ref="A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6:I56"/>
    <mergeCell ref="C57:I57"/>
    <mergeCell ref="A59:I59"/>
    <mergeCell ref="A65:I65"/>
    <mergeCell ref="A67:I67"/>
    <mergeCell ref="C68:I68"/>
    <mergeCell ref="C71:I71"/>
    <mergeCell ref="C72:I72"/>
    <mergeCell ref="C74:I74"/>
    <mergeCell ref="C76:I76"/>
    <mergeCell ref="B78:I78"/>
    <mergeCell ref="C79:I79"/>
    <mergeCell ref="B80:I80"/>
    <mergeCell ref="A81:I81"/>
    <mergeCell ref="A83:I83"/>
    <mergeCell ref="A84:I84"/>
    <mergeCell ref="C85:I85"/>
    <mergeCell ref="C86:I86"/>
    <mergeCell ref="A89:I89"/>
    <mergeCell ref="C91:I91"/>
    <mergeCell ref="C92:I92"/>
    <mergeCell ref="C95:I95"/>
    <mergeCell ref="C96:I96"/>
    <mergeCell ref="C97:I97"/>
    <mergeCell ref="A98:I98"/>
  </mergeCells>
  <dataValidations count="4">
    <dataValidation allowBlank="false" errorStyle="stop" operator="between" showDropDown="false" showErrorMessage="false" showInputMessage="false" sqref="B27" type="list">
      <formula1>"1. Pre-Dev / Entitlement,2. Construction,3. Lease-Up / Sell-Out,4. Stabilization"</formula1>
      <formula2>0</formula2>
    </dataValidation>
    <dataValidation allowBlank="false" errorStyle="stop" operator="between" showDropDown="false" showErrorMessage="false" showInputMessage="false" sqref="B32" type="list">
      <formula1>"Zip,Neighborhood,City,County,State"</formula1>
      <formula2>0</formula2>
    </dataValidation>
    <dataValidation allowBlank="false" errorStyle="stop" operator="between" showDropDown="false" showErrorMessage="false" showInputMessage="false" sqref="B34" type="list">
      <formula1>"Rates shock,Credit bust"</formula1>
      <formula2>0</formula2>
    </dataValidation>
    <dataValidation allowBlank="false" errorStyle="stop" operator="between" showDropDown="false" showErrorMessage="false" showInputMessage="false" sqref="B35" type="list">
      <formula1>"LOW,BASE,HIGH"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4748B"/>
    <pageSetUpPr fitToPage="false"/>
  </sheetPr>
  <dimension ref="A1:J10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6"/>
    <col collapsed="false" customWidth="true" hidden="false" outlineLevel="0" max="2" min="2" style="0" width="15"/>
    <col collapsed="false" customWidth="true" hidden="false" outlineLevel="0" max="4" min="3" style="0" width="13"/>
    <col collapsed="false" customWidth="true" hidden="false" outlineLevel="0" max="5" min="5" style="0" width="14"/>
    <col collapsed="false" customWidth="true" hidden="false" outlineLevel="0" max="8" min="6" style="0" width="13"/>
    <col collapsed="false" customWidth="true" hidden="false" outlineLevel="0" max="9" min="9" style="0" width="15"/>
    <col collapsed="false" customWidth="true" hidden="false" outlineLevel="0" max="10" min="10" style="0" width="14"/>
  </cols>
  <sheetData>
    <row r="1" customFormat="false" ht="30" hidden="false" customHeight="true" outlineLevel="0" collapsed="false">
      <c r="A1" s="17" t="s">
        <v>393</v>
      </c>
      <c r="B1" s="17"/>
      <c r="C1" s="17"/>
      <c r="D1" s="17"/>
      <c r="E1" s="17"/>
      <c r="F1" s="17"/>
      <c r="G1" s="17"/>
      <c r="H1" s="17"/>
      <c r="I1" s="17"/>
      <c r="J1" s="17"/>
    </row>
    <row r="2" customFormat="false" ht="25.5" hidden="false" customHeight="true" outlineLevel="0" collapsed="false">
      <c r="A2" s="18" t="s">
        <v>394</v>
      </c>
      <c r="B2" s="18"/>
      <c r="C2" s="18"/>
      <c r="D2" s="18"/>
      <c r="E2" s="18"/>
      <c r="F2" s="18"/>
      <c r="G2" s="18"/>
      <c r="H2" s="18"/>
      <c r="I2" s="18"/>
      <c r="J2" s="18"/>
    </row>
    <row r="4" customFormat="false" ht="18" hidden="false" customHeight="true" outlineLevel="0" collapsed="false">
      <c r="A4" s="3" t="s">
        <v>395</v>
      </c>
      <c r="B4" s="3"/>
      <c r="C4" s="3"/>
      <c r="D4" s="3"/>
      <c r="E4" s="3"/>
      <c r="F4" s="3"/>
      <c r="G4" s="3"/>
      <c r="H4" s="3"/>
      <c r="I4" s="3"/>
      <c r="J4" s="3"/>
    </row>
    <row r="5" customFormat="false" ht="25.5" hidden="false" customHeight="true" outlineLevel="0" collapsed="false">
      <c r="A5" s="71" t="s">
        <v>396</v>
      </c>
      <c r="B5" s="71" t="s">
        <v>397</v>
      </c>
      <c r="C5" s="71" t="s">
        <v>398</v>
      </c>
      <c r="D5" s="71" t="s">
        <v>399</v>
      </c>
      <c r="E5" s="71" t="s">
        <v>400</v>
      </c>
      <c r="F5" s="71" t="s">
        <v>401</v>
      </c>
      <c r="G5" s="71" t="s">
        <v>402</v>
      </c>
      <c r="H5" s="71" t="s">
        <v>403</v>
      </c>
      <c r="I5" s="71" t="s">
        <v>127</v>
      </c>
      <c r="J5" s="71" t="s">
        <v>404</v>
      </c>
    </row>
    <row r="6" customFormat="false" ht="15" hidden="false" customHeight="false" outlineLevel="0" collapsed="false">
      <c r="A6" s="36" t="s">
        <v>405</v>
      </c>
      <c r="B6" s="72" t="n">
        <v>0.9</v>
      </c>
      <c r="C6" s="73" t="n">
        <v>1</v>
      </c>
      <c r="D6" s="72" t="n">
        <v>1.1</v>
      </c>
      <c r="E6" s="7" t="s">
        <v>406</v>
      </c>
      <c r="F6" s="72" t="n">
        <v>0.8</v>
      </c>
      <c r="G6" s="72" t="n">
        <v>0.95</v>
      </c>
      <c r="H6" s="74" t="n">
        <f aca="false">(F6+G6)/2</f>
        <v>0.875</v>
      </c>
      <c r="I6" s="38" t="n">
        <v>0.75</v>
      </c>
      <c r="J6" s="7" t="s">
        <v>407</v>
      </c>
    </row>
    <row r="7" customFormat="false" ht="15" hidden="false" customHeight="false" outlineLevel="0" collapsed="false">
      <c r="A7" s="36" t="s">
        <v>408</v>
      </c>
      <c r="B7" s="72" t="n">
        <v>0.9</v>
      </c>
      <c r="C7" s="73" t="n">
        <v>1.1</v>
      </c>
      <c r="D7" s="72" t="n">
        <v>1.3</v>
      </c>
      <c r="E7" s="7" t="s">
        <v>409</v>
      </c>
      <c r="F7" s="72" t="n">
        <v>0.6</v>
      </c>
      <c r="G7" s="72" t="n">
        <v>0.8</v>
      </c>
      <c r="H7" s="74" t="n">
        <f aca="false">(F7+G7)/2</f>
        <v>0.7</v>
      </c>
      <c r="I7" s="38" t="n">
        <v>0.65</v>
      </c>
      <c r="J7" s="7" t="s">
        <v>410</v>
      </c>
    </row>
    <row r="8" customFormat="false" ht="15" hidden="false" customHeight="false" outlineLevel="0" collapsed="false">
      <c r="A8" s="36" t="s">
        <v>411</v>
      </c>
      <c r="B8" s="72" t="n">
        <v>0.8</v>
      </c>
      <c r="C8" s="73" t="n">
        <v>0.9</v>
      </c>
      <c r="D8" s="72" t="n">
        <v>1</v>
      </c>
      <c r="E8" s="7" t="s">
        <v>412</v>
      </c>
      <c r="F8" s="72" t="n">
        <v>0.7</v>
      </c>
      <c r="G8" s="72" t="n">
        <v>0.85</v>
      </c>
      <c r="H8" s="74" t="n">
        <f aca="false">(F8+G8)/2</f>
        <v>0.775</v>
      </c>
      <c r="I8" s="38" t="n">
        <v>0.7</v>
      </c>
      <c r="J8" s="7" t="s">
        <v>410</v>
      </c>
    </row>
    <row r="9" customFormat="false" ht="15" hidden="false" customHeight="false" outlineLevel="0" collapsed="false">
      <c r="A9" s="36" t="s">
        <v>413</v>
      </c>
      <c r="B9" s="72" t="n">
        <v>1.5</v>
      </c>
      <c r="C9" s="73" t="n">
        <v>2</v>
      </c>
      <c r="D9" s="72" t="n">
        <v>2.5</v>
      </c>
      <c r="E9" s="7" t="s">
        <v>409</v>
      </c>
      <c r="F9" s="72" t="n">
        <v>0.6</v>
      </c>
      <c r="G9" s="72" t="n">
        <v>0.8</v>
      </c>
      <c r="H9" s="74" t="n">
        <f aca="false">(F9+G9)/2</f>
        <v>0.7</v>
      </c>
      <c r="I9" s="38" t="n">
        <v>0.6</v>
      </c>
      <c r="J9" s="7" t="s">
        <v>410</v>
      </c>
    </row>
    <row r="10" customFormat="false" ht="15" hidden="false" customHeight="false" outlineLevel="0" collapsed="false">
      <c r="A10" s="36" t="s">
        <v>414</v>
      </c>
      <c r="B10" s="72" t="n">
        <v>0.3</v>
      </c>
      <c r="C10" s="73" t="n">
        <v>0.5</v>
      </c>
      <c r="D10" s="72" t="n">
        <v>0.8</v>
      </c>
      <c r="E10" s="7" t="s">
        <v>415</v>
      </c>
      <c r="F10" s="72" t="n">
        <v>0.15</v>
      </c>
      <c r="G10" s="72" t="n">
        <v>0.35</v>
      </c>
      <c r="H10" s="74" t="n">
        <f aca="false">(F10+G10)/2</f>
        <v>0.25</v>
      </c>
      <c r="I10" s="38" t="n">
        <v>0.35</v>
      </c>
      <c r="J10" s="7" t="s">
        <v>416</v>
      </c>
    </row>
    <row r="11" customFormat="false" ht="15" hidden="false" customHeight="false" outlineLevel="0" collapsed="false">
      <c r="A11" s="36" t="s">
        <v>417</v>
      </c>
      <c r="B11" s="72" t="n">
        <v>0.1</v>
      </c>
      <c r="C11" s="73" t="n">
        <v>0.25</v>
      </c>
      <c r="D11" s="72" t="n">
        <v>0.4</v>
      </c>
      <c r="E11" s="7" t="s">
        <v>418</v>
      </c>
      <c r="F11" s="72" t="n">
        <v>0.04</v>
      </c>
      <c r="G11" s="72" t="n">
        <v>0.15</v>
      </c>
      <c r="H11" s="74" t="n">
        <f aca="false">(F11+G11)/2</f>
        <v>0.095</v>
      </c>
      <c r="I11" s="38" t="n">
        <v>0.2</v>
      </c>
      <c r="J11" s="7" t="s">
        <v>419</v>
      </c>
    </row>
    <row r="12" customFormat="false" ht="15" hidden="false" customHeight="false" outlineLevel="0" collapsed="false">
      <c r="A12" s="36" t="s">
        <v>420</v>
      </c>
      <c r="B12" s="72" t="n">
        <v>0.3</v>
      </c>
      <c r="C12" s="73" t="n">
        <v>0.5</v>
      </c>
      <c r="D12" s="72" t="n">
        <v>0.7</v>
      </c>
      <c r="E12" s="7" t="s">
        <v>421</v>
      </c>
      <c r="F12" s="72" t="n">
        <v>0.1</v>
      </c>
      <c r="G12" s="72" t="n">
        <v>0.25</v>
      </c>
      <c r="H12" s="74" t="n">
        <f aca="false">(F12+G12)/2</f>
        <v>0.175</v>
      </c>
      <c r="I12" s="38" t="n">
        <v>0.25</v>
      </c>
      <c r="J12" s="7" t="s">
        <v>422</v>
      </c>
    </row>
    <row r="13" customFormat="false" ht="15" hidden="false" customHeight="false" outlineLevel="0" collapsed="false">
      <c r="A13" s="36" t="s">
        <v>423</v>
      </c>
      <c r="B13" s="72" t="n">
        <v>0.2</v>
      </c>
      <c r="C13" s="73" t="n">
        <v>0.4</v>
      </c>
      <c r="D13" s="72" t="n">
        <v>0.8</v>
      </c>
      <c r="E13" s="7" t="s">
        <v>424</v>
      </c>
      <c r="F13" s="72" t="n">
        <v>0.05</v>
      </c>
      <c r="G13" s="72" t="n">
        <v>0.2</v>
      </c>
      <c r="H13" s="74" t="n">
        <f aca="false">(F13+G13)/2</f>
        <v>0.125</v>
      </c>
      <c r="I13" s="38" t="n">
        <v>0.2</v>
      </c>
      <c r="J13" s="7" t="s">
        <v>422</v>
      </c>
    </row>
    <row r="14" customFormat="false" ht="15" hidden="false" customHeight="false" outlineLevel="0" collapsed="false">
      <c r="A14" s="36" t="s">
        <v>425</v>
      </c>
      <c r="B14" s="72" t="n">
        <v>0.1</v>
      </c>
      <c r="C14" s="73" t="n">
        <v>0.3</v>
      </c>
      <c r="D14" s="72" t="n">
        <v>0.5</v>
      </c>
      <c r="E14" s="7" t="s">
        <v>426</v>
      </c>
      <c r="F14" s="72" t="n">
        <v>0.02</v>
      </c>
      <c r="G14" s="72" t="n">
        <v>0.12</v>
      </c>
      <c r="H14" s="74" t="n">
        <f aca="false">(F14+G14)/2</f>
        <v>0.07</v>
      </c>
      <c r="I14" s="38" t="n">
        <v>0.15</v>
      </c>
      <c r="J14" s="7" t="s">
        <v>422</v>
      </c>
    </row>
    <row r="15" customFormat="false" ht="24" hidden="false" customHeight="true" outlineLevel="0" collapsed="false">
      <c r="A15" s="4" t="s">
        <v>427</v>
      </c>
      <c r="B15" s="4"/>
      <c r="C15" s="4"/>
      <c r="D15" s="4"/>
      <c r="E15" s="4"/>
      <c r="F15" s="4"/>
      <c r="G15" s="4"/>
      <c r="H15" s="4"/>
      <c r="I15" s="4"/>
      <c r="J15" s="4"/>
    </row>
    <row r="16" customFormat="false" ht="21.75" hidden="false" customHeight="true" outlineLevel="0" collapsed="false">
      <c r="A16" s="4" t="s">
        <v>428</v>
      </c>
      <c r="B16" s="4"/>
      <c r="C16" s="4"/>
      <c r="D16" s="4"/>
      <c r="E16" s="4"/>
      <c r="F16" s="4"/>
      <c r="G16" s="4"/>
      <c r="H16" s="4"/>
      <c r="I16" s="4"/>
      <c r="J16" s="4"/>
    </row>
    <row r="18" customFormat="false" ht="18" hidden="false" customHeight="true" outlineLevel="0" collapsed="false">
      <c r="A18" s="3" t="s">
        <v>429</v>
      </c>
      <c r="B18" s="3"/>
      <c r="C18" s="3"/>
      <c r="D18" s="3"/>
      <c r="E18" s="3"/>
      <c r="F18" s="3"/>
      <c r="G18" s="3"/>
      <c r="H18" s="3"/>
      <c r="I18" s="3"/>
      <c r="J18" s="3"/>
    </row>
    <row r="19" customFormat="false" ht="22.35" hidden="false" customHeight="false" outlineLevel="0" collapsed="false">
      <c r="A19" s="71" t="s">
        <v>107</v>
      </c>
      <c r="B19" s="71" t="s">
        <v>430</v>
      </c>
      <c r="C19" s="71" t="s">
        <v>431</v>
      </c>
      <c r="D19" s="71" t="s">
        <v>432</v>
      </c>
      <c r="E19" s="71" t="s">
        <v>433</v>
      </c>
      <c r="F19" s="71" t="s">
        <v>434</v>
      </c>
      <c r="G19" s="71" t="s">
        <v>435</v>
      </c>
    </row>
    <row r="20" customFormat="false" ht="27.75" hidden="false" customHeight="true" outlineLevel="0" collapsed="false">
      <c r="A20" s="15" t="s">
        <v>81</v>
      </c>
      <c r="B20" s="75" t="s">
        <v>436</v>
      </c>
      <c r="C20" s="38" t="n">
        <v>0.25</v>
      </c>
      <c r="D20" s="38" t="n">
        <v>0.4</v>
      </c>
      <c r="E20" s="76" t="n">
        <f aca="false">(C20+D20)/2</f>
        <v>0.325</v>
      </c>
      <c r="F20" s="75" t="s">
        <v>437</v>
      </c>
      <c r="G20" s="75" t="s">
        <v>59</v>
      </c>
    </row>
    <row r="21" customFormat="false" ht="27.75" hidden="false" customHeight="true" outlineLevel="0" collapsed="false">
      <c r="A21" s="15" t="s">
        <v>82</v>
      </c>
      <c r="B21" s="75" t="s">
        <v>438</v>
      </c>
      <c r="C21" s="38" t="n">
        <v>0.4</v>
      </c>
      <c r="D21" s="38" t="n">
        <v>0.6</v>
      </c>
      <c r="E21" s="76" t="n">
        <f aca="false">(C21+D21)/2</f>
        <v>0.5</v>
      </c>
      <c r="F21" s="75" t="s">
        <v>439</v>
      </c>
      <c r="G21" s="75" t="s">
        <v>440</v>
      </c>
    </row>
    <row r="22" customFormat="false" ht="27.75" hidden="false" customHeight="true" outlineLevel="0" collapsed="false">
      <c r="A22" s="15" t="s">
        <v>83</v>
      </c>
      <c r="B22" s="75" t="s">
        <v>441</v>
      </c>
      <c r="C22" s="38" t="n">
        <v>0.5</v>
      </c>
      <c r="D22" s="38" t="n">
        <v>0.75</v>
      </c>
      <c r="E22" s="76" t="n">
        <f aca="false">(C22+D22)/2</f>
        <v>0.625</v>
      </c>
      <c r="F22" s="75" t="s">
        <v>442</v>
      </c>
      <c r="G22" s="75" t="s">
        <v>443</v>
      </c>
    </row>
    <row r="23" customFormat="false" ht="27.75" hidden="false" customHeight="true" outlineLevel="0" collapsed="false">
      <c r="A23" s="15" t="s">
        <v>84</v>
      </c>
      <c r="B23" s="75" t="s">
        <v>444</v>
      </c>
      <c r="C23" s="38" t="n">
        <v>0</v>
      </c>
      <c r="D23" s="38" t="n">
        <v>0.25</v>
      </c>
      <c r="E23" s="76" t="n">
        <f aca="false">(C23+D23)/2</f>
        <v>0.125</v>
      </c>
      <c r="F23" s="75" t="s">
        <v>445</v>
      </c>
      <c r="G23" s="75" t="s">
        <v>446</v>
      </c>
    </row>
    <row r="24" customFormat="false" ht="24" hidden="false" customHeight="true" outlineLevel="0" collapsed="false">
      <c r="A24" s="4" t="s">
        <v>447</v>
      </c>
      <c r="B24" s="4"/>
      <c r="C24" s="4"/>
      <c r="D24" s="4"/>
      <c r="E24" s="4"/>
      <c r="F24" s="4"/>
      <c r="G24" s="4"/>
      <c r="H24" s="4"/>
      <c r="I24" s="4"/>
      <c r="J24" s="4"/>
    </row>
    <row r="26" customFormat="false" ht="18" hidden="false" customHeight="true" outlineLevel="0" collapsed="false">
      <c r="A26" s="3" t="s">
        <v>448</v>
      </c>
      <c r="B26" s="3"/>
      <c r="C26" s="3"/>
      <c r="D26" s="3"/>
      <c r="E26" s="3"/>
      <c r="F26" s="3"/>
      <c r="G26" s="3"/>
      <c r="H26" s="3"/>
      <c r="I26" s="3"/>
      <c r="J26" s="3"/>
    </row>
    <row r="27" customFormat="false" ht="15" hidden="false" customHeight="false" outlineLevel="0" collapsed="false">
      <c r="A27" s="13" t="s">
        <v>435</v>
      </c>
      <c r="B27" s="13" t="s">
        <v>449</v>
      </c>
      <c r="C27" s="13" t="s">
        <v>450</v>
      </c>
    </row>
    <row r="28" customFormat="false" ht="15" hidden="false" customHeight="false" outlineLevel="0" collapsed="false">
      <c r="A28" s="36" t="s">
        <v>451</v>
      </c>
      <c r="B28" s="54" t="n">
        <v>5000</v>
      </c>
      <c r="C28" s="77" t="s">
        <v>452</v>
      </c>
      <c r="D28" s="77"/>
      <c r="E28" s="77"/>
      <c r="F28" s="77"/>
      <c r="G28" s="77"/>
      <c r="H28" s="77"/>
      <c r="I28" s="77"/>
      <c r="J28" s="77"/>
    </row>
    <row r="29" customFormat="false" ht="15" hidden="false" customHeight="false" outlineLevel="0" collapsed="false">
      <c r="A29" s="36" t="s">
        <v>453</v>
      </c>
      <c r="B29" s="54" t="n">
        <v>5000</v>
      </c>
      <c r="C29" s="77" t="s">
        <v>454</v>
      </c>
      <c r="D29" s="77"/>
      <c r="E29" s="77"/>
      <c r="F29" s="77"/>
      <c r="G29" s="77"/>
      <c r="H29" s="77"/>
      <c r="I29" s="77"/>
      <c r="J29" s="77"/>
    </row>
    <row r="30" customFormat="false" ht="15" hidden="false" customHeight="false" outlineLevel="0" collapsed="false">
      <c r="A30" s="36" t="s">
        <v>455</v>
      </c>
      <c r="B30" s="54" t="n">
        <v>50000</v>
      </c>
      <c r="C30" s="77" t="s">
        <v>456</v>
      </c>
      <c r="D30" s="77"/>
      <c r="E30" s="77"/>
      <c r="F30" s="77"/>
      <c r="G30" s="77"/>
      <c r="H30" s="77"/>
      <c r="I30" s="77"/>
      <c r="J30" s="77"/>
    </row>
    <row r="31" customFormat="false" ht="15" hidden="false" customHeight="false" outlineLevel="0" collapsed="false">
      <c r="A31" s="36" t="s">
        <v>59</v>
      </c>
      <c r="B31" s="54" t="n">
        <v>50000</v>
      </c>
      <c r="C31" s="77" t="s">
        <v>457</v>
      </c>
      <c r="D31" s="77"/>
      <c r="E31" s="77"/>
      <c r="F31" s="77"/>
      <c r="G31" s="77"/>
      <c r="H31" s="77"/>
      <c r="I31" s="77"/>
      <c r="J31" s="77"/>
    </row>
    <row r="32" customFormat="false" ht="15" hidden="false" customHeight="false" outlineLevel="0" collapsed="false">
      <c r="A32" s="36" t="s">
        <v>57</v>
      </c>
      <c r="B32" s="54" t="n">
        <v>100000</v>
      </c>
      <c r="C32" s="77" t="s">
        <v>458</v>
      </c>
      <c r="D32" s="77"/>
      <c r="E32" s="77"/>
      <c r="F32" s="77"/>
      <c r="G32" s="77"/>
      <c r="H32" s="77"/>
      <c r="I32" s="77"/>
      <c r="J32" s="77"/>
    </row>
    <row r="33" customFormat="false" ht="21.75" hidden="false" customHeight="true" outlineLevel="0" collapsed="false">
      <c r="A33" s="4" t="s">
        <v>459</v>
      </c>
      <c r="B33" s="4"/>
      <c r="C33" s="4"/>
      <c r="D33" s="4"/>
      <c r="E33" s="4"/>
      <c r="F33" s="4"/>
      <c r="G33" s="4"/>
      <c r="H33" s="4"/>
      <c r="I33" s="4"/>
      <c r="J33" s="4"/>
    </row>
    <row r="35" customFormat="false" ht="18" hidden="false" customHeight="true" outlineLevel="0" collapsed="false">
      <c r="A35" s="3" t="s">
        <v>460</v>
      </c>
      <c r="B35" s="3"/>
      <c r="C35" s="3"/>
      <c r="D35" s="3"/>
      <c r="E35" s="3"/>
      <c r="F35" s="3"/>
      <c r="G35" s="3"/>
      <c r="H35" s="3"/>
      <c r="I35" s="3"/>
      <c r="J35" s="3"/>
    </row>
    <row r="36" customFormat="false" ht="15" hidden="false" customHeight="true" outlineLevel="0" collapsed="false">
      <c r="A36" s="4" t="s">
        <v>461</v>
      </c>
      <c r="B36" s="4"/>
      <c r="C36" s="4"/>
      <c r="D36" s="4"/>
      <c r="E36" s="4"/>
      <c r="F36" s="4"/>
      <c r="G36" s="4"/>
      <c r="H36" s="4"/>
      <c r="I36" s="4"/>
      <c r="J36" s="4"/>
    </row>
    <row r="37" customFormat="false" ht="15" hidden="false" customHeight="true" outlineLevel="0" collapsed="false">
      <c r="A37" s="4" t="s">
        <v>462</v>
      </c>
      <c r="B37" s="4"/>
      <c r="C37" s="4"/>
      <c r="D37" s="4"/>
      <c r="E37" s="4"/>
      <c r="F37" s="4"/>
      <c r="G37" s="4"/>
      <c r="H37" s="4"/>
      <c r="I37" s="4"/>
      <c r="J37" s="4"/>
    </row>
    <row r="38" customFormat="false" ht="15" hidden="false" customHeight="true" outlineLevel="0" collapsed="false">
      <c r="A38" s="4" t="s">
        <v>463</v>
      </c>
      <c r="B38" s="4"/>
      <c r="C38" s="4"/>
      <c r="D38" s="4"/>
      <c r="E38" s="4"/>
      <c r="F38" s="4"/>
      <c r="G38" s="4"/>
      <c r="H38" s="4"/>
      <c r="I38" s="4"/>
      <c r="J38" s="4"/>
    </row>
    <row r="39" customFormat="false" ht="15" hidden="false" customHeight="true" outlineLevel="0" collapsed="false">
      <c r="A39" s="4" t="s">
        <v>464</v>
      </c>
      <c r="B39" s="4"/>
      <c r="C39" s="4"/>
      <c r="D39" s="4"/>
      <c r="E39" s="4"/>
      <c r="F39" s="4"/>
      <c r="G39" s="4"/>
      <c r="H39" s="4"/>
      <c r="I39" s="4"/>
      <c r="J39" s="4"/>
    </row>
    <row r="40" customFormat="false" ht="15" hidden="false" customHeight="true" outlineLevel="0" collapsed="false">
      <c r="A40" s="4" t="s">
        <v>465</v>
      </c>
      <c r="B40" s="4"/>
      <c r="C40" s="4"/>
      <c r="D40" s="4"/>
      <c r="E40" s="4"/>
      <c r="F40" s="4"/>
      <c r="G40" s="4"/>
      <c r="H40" s="4"/>
      <c r="I40" s="4"/>
      <c r="J40" s="4"/>
    </row>
    <row r="41" customFormat="false" ht="15" hidden="false" customHeight="true" outlineLevel="0" collapsed="false">
      <c r="A41" s="4" t="s">
        <v>466</v>
      </c>
      <c r="B41" s="4"/>
      <c r="C41" s="4"/>
      <c r="D41" s="4"/>
      <c r="E41" s="4"/>
      <c r="F41" s="4"/>
      <c r="G41" s="4"/>
      <c r="H41" s="4"/>
      <c r="I41" s="4"/>
      <c r="J41" s="4"/>
    </row>
    <row r="42" customFormat="false" ht="15" hidden="false" customHeight="true" outlineLevel="0" collapsed="false">
      <c r="A42" s="4" t="s">
        <v>467</v>
      </c>
      <c r="B42" s="4"/>
      <c r="C42" s="4"/>
      <c r="D42" s="4"/>
      <c r="E42" s="4"/>
      <c r="F42" s="4"/>
      <c r="G42" s="4"/>
      <c r="H42" s="4"/>
      <c r="I42" s="4"/>
      <c r="J42" s="4"/>
    </row>
    <row r="43" customFormat="false" ht="15" hidden="false" customHeight="true" outlineLevel="0" collapsed="false">
      <c r="A43" s="4" t="s">
        <v>468</v>
      </c>
      <c r="B43" s="4"/>
      <c r="C43" s="4"/>
      <c r="D43" s="4"/>
      <c r="E43" s="4"/>
      <c r="F43" s="4"/>
      <c r="G43" s="4"/>
      <c r="H43" s="4"/>
      <c r="I43" s="4"/>
      <c r="J43" s="4"/>
    </row>
    <row r="44" customFormat="false" ht="15" hidden="false" customHeight="true" outlineLevel="0" collapsed="false">
      <c r="A44" s="4" t="s">
        <v>469</v>
      </c>
      <c r="B44" s="4"/>
      <c r="C44" s="4"/>
      <c r="D44" s="4"/>
      <c r="E44" s="4"/>
      <c r="F44" s="4"/>
      <c r="G44" s="4"/>
      <c r="H44" s="4"/>
      <c r="I44" s="4"/>
      <c r="J44" s="4"/>
    </row>
    <row r="45" customFormat="false" ht="15" hidden="false" customHeight="true" outlineLevel="0" collapsed="false">
      <c r="A45" s="4" t="s">
        <v>470</v>
      </c>
      <c r="B45" s="4"/>
      <c r="C45" s="4"/>
      <c r="D45" s="4"/>
      <c r="E45" s="4"/>
      <c r="F45" s="4"/>
      <c r="G45" s="4"/>
      <c r="H45" s="4"/>
      <c r="I45" s="4"/>
      <c r="J45" s="4"/>
    </row>
    <row r="47" customFormat="false" ht="18" hidden="false" customHeight="true" outlineLevel="0" collapsed="false">
      <c r="A47" s="3" t="s">
        <v>471</v>
      </c>
      <c r="B47" s="3"/>
      <c r="C47" s="3"/>
      <c r="D47" s="3"/>
      <c r="E47" s="3"/>
      <c r="F47" s="3"/>
      <c r="G47" s="3"/>
      <c r="H47" s="3"/>
      <c r="I47" s="3"/>
      <c r="J47" s="3"/>
    </row>
    <row r="48" customFormat="false" ht="24" hidden="false" customHeight="true" outlineLevel="0" collapsed="false">
      <c r="A48" s="4" t="s">
        <v>472</v>
      </c>
      <c r="B48" s="4"/>
      <c r="C48" s="4"/>
      <c r="D48" s="4"/>
      <c r="E48" s="4"/>
      <c r="F48" s="4"/>
      <c r="G48" s="4"/>
      <c r="H48" s="4"/>
      <c r="I48" s="4"/>
      <c r="J48" s="4"/>
    </row>
    <row r="49" customFormat="false" ht="24" hidden="false" customHeight="true" outlineLevel="0" collapsed="false">
      <c r="A49" s="4" t="s">
        <v>473</v>
      </c>
      <c r="B49" s="4"/>
      <c r="C49" s="4"/>
      <c r="D49" s="4"/>
      <c r="E49" s="4"/>
      <c r="F49" s="4"/>
      <c r="G49" s="4"/>
      <c r="H49" s="4"/>
      <c r="I49" s="4"/>
      <c r="J49" s="4"/>
    </row>
    <row r="50" customFormat="false" ht="24" hidden="false" customHeight="true" outlineLevel="0" collapsed="false">
      <c r="A50" s="4" t="s">
        <v>474</v>
      </c>
      <c r="B50" s="4"/>
      <c r="C50" s="4"/>
      <c r="D50" s="4"/>
      <c r="E50" s="4"/>
      <c r="F50" s="4"/>
      <c r="G50" s="4"/>
      <c r="H50" s="4"/>
      <c r="I50" s="4"/>
      <c r="J50" s="4"/>
    </row>
    <row r="51" customFormat="false" ht="24" hidden="false" customHeight="true" outlineLevel="0" collapsed="false">
      <c r="A51" s="4" t="s">
        <v>475</v>
      </c>
      <c r="B51" s="4"/>
      <c r="C51" s="4"/>
      <c r="D51" s="4"/>
      <c r="E51" s="4"/>
      <c r="F51" s="4"/>
      <c r="G51" s="4"/>
      <c r="H51" s="4"/>
      <c r="I51" s="4"/>
      <c r="J51" s="4"/>
    </row>
    <row r="53" customFormat="false" ht="18" hidden="false" customHeight="true" outlineLevel="0" collapsed="false">
      <c r="A53" s="3" t="s">
        <v>476</v>
      </c>
      <c r="B53" s="3"/>
      <c r="C53" s="3"/>
      <c r="D53" s="3"/>
      <c r="E53" s="3"/>
      <c r="F53" s="3"/>
      <c r="G53" s="3"/>
      <c r="H53" s="3"/>
      <c r="I53" s="3"/>
      <c r="J53" s="3"/>
    </row>
    <row r="54" customFormat="false" ht="15" hidden="false" customHeight="false" outlineLevel="0" collapsed="false">
      <c r="A54" s="21" t="s">
        <v>477</v>
      </c>
      <c r="B54" s="21"/>
      <c r="C54" s="21"/>
      <c r="D54" s="21"/>
      <c r="E54" s="21"/>
      <c r="F54" s="21"/>
      <c r="G54" s="21"/>
      <c r="H54" s="21"/>
      <c r="I54" s="21"/>
      <c r="J54" s="21"/>
    </row>
    <row r="55" customFormat="false" ht="15" hidden="false" customHeight="false" outlineLevel="0" collapsed="false">
      <c r="A55" s="19" t="s">
        <v>478</v>
      </c>
      <c r="B55" s="22" t="n">
        <v>48000000</v>
      </c>
    </row>
    <row r="56" customFormat="false" ht="15" hidden="false" customHeight="false" outlineLevel="0" collapsed="false">
      <c r="A56" s="19" t="s">
        <v>479</v>
      </c>
      <c r="B56" s="33" t="n">
        <v>1.05</v>
      </c>
    </row>
    <row r="57" customFormat="false" ht="15" hidden="false" customHeight="false" outlineLevel="0" collapsed="false">
      <c r="A57" s="19" t="s">
        <v>480</v>
      </c>
      <c r="B57" s="33" t="n">
        <v>1</v>
      </c>
    </row>
    <row r="58" customFormat="false" ht="15" hidden="false" customHeight="false" outlineLevel="0" collapsed="false">
      <c r="A58" s="19" t="s">
        <v>481</v>
      </c>
      <c r="B58" s="32" t="n">
        <v>0.08</v>
      </c>
    </row>
    <row r="59" customFormat="false" ht="15" hidden="false" customHeight="false" outlineLevel="0" collapsed="false">
      <c r="A59" s="19" t="s">
        <v>482</v>
      </c>
      <c r="B59" s="32" t="n">
        <v>0.03</v>
      </c>
    </row>
    <row r="60" customFormat="false" ht="15" hidden="false" customHeight="false" outlineLevel="0" collapsed="false">
      <c r="A60" s="19" t="s">
        <v>483</v>
      </c>
      <c r="B60" s="26" t="n">
        <v>0.5</v>
      </c>
    </row>
    <row r="61" customFormat="false" ht="15" hidden="false" customHeight="false" outlineLevel="0" collapsed="false">
      <c r="A61" s="19" t="s">
        <v>484</v>
      </c>
      <c r="B61" s="32" t="n">
        <v>0.01</v>
      </c>
    </row>
    <row r="62" customFormat="false" ht="15" hidden="false" customHeight="false" outlineLevel="0" collapsed="false">
      <c r="A62" s="19" t="s">
        <v>485</v>
      </c>
      <c r="B62" s="22" t="n">
        <v>65000000</v>
      </c>
    </row>
    <row r="63" customFormat="false" ht="15" hidden="false" customHeight="false" outlineLevel="0" collapsed="false">
      <c r="A63" s="19" t="s">
        <v>486</v>
      </c>
      <c r="B63" s="48" t="n">
        <f aca="false">B56*B57</f>
        <v>1.05</v>
      </c>
    </row>
    <row r="64" customFormat="false" ht="15" hidden="false" customHeight="false" outlineLevel="0" collapsed="false">
      <c r="A64" s="24" t="s">
        <v>487</v>
      </c>
      <c r="B64" s="25" t="n">
        <f aca="false">B55*B63*B58*B60</f>
        <v>2016000</v>
      </c>
      <c r="C64" s="78" t="str">
        <f aca="false">IF(ROUND(B64,0)=2016000,"EXACT MATCH — $2,016,000 net downside coverage (doc: $2.016M)","CHECK FAILED — expected $2,016,000")</f>
        <v>EXACT MATCH — $2,016,000 net downside coverage (doc: $2.016M)</v>
      </c>
      <c r="D64" s="78"/>
      <c r="E64" s="78"/>
      <c r="F64" s="78"/>
      <c r="G64" s="78"/>
      <c r="H64" s="78"/>
      <c r="I64" s="78"/>
      <c r="J64" s="78"/>
    </row>
    <row r="65" customFormat="false" ht="15" hidden="false" customHeight="false" outlineLevel="0" collapsed="false">
      <c r="A65" s="34" t="s">
        <v>144</v>
      </c>
      <c r="B65" s="34" t="s">
        <v>145</v>
      </c>
      <c r="C65" s="34" t="s">
        <v>146</v>
      </c>
      <c r="D65" s="34" t="s">
        <v>147</v>
      </c>
      <c r="E65" s="34" t="s">
        <v>148</v>
      </c>
      <c r="F65" s="34" t="s">
        <v>149</v>
      </c>
      <c r="G65" s="34" t="s">
        <v>150</v>
      </c>
    </row>
    <row r="66" customFormat="false" ht="15" hidden="false" customHeight="false" outlineLevel="0" collapsed="false">
      <c r="A66" s="50" t="n">
        <v>0.02</v>
      </c>
      <c r="B66" s="51" t="n">
        <v>0.28</v>
      </c>
      <c r="C66" s="52" t="n">
        <f aca="false">B66*(1+$B$61)</f>
        <v>0.2828</v>
      </c>
      <c r="D66" s="38" t="n">
        <v>0.4</v>
      </c>
      <c r="E66" s="39" t="n">
        <f aca="false">$B$64*D66</f>
        <v>806400</v>
      </c>
      <c r="F66" s="53" t="n">
        <f aca="false">ROUNDUP(E66/(1-C66),0)</f>
        <v>1124373</v>
      </c>
      <c r="G66" s="39" t="n">
        <f aca="false">F66*C66</f>
        <v>317972.6844</v>
      </c>
    </row>
    <row r="67" customFormat="false" ht="15" hidden="false" customHeight="false" outlineLevel="0" collapsed="false">
      <c r="A67" s="50" t="n">
        <v>0.05</v>
      </c>
      <c r="B67" s="51" t="n">
        <v>0.14</v>
      </c>
      <c r="C67" s="52" t="n">
        <f aca="false">B67*(1+$B$61)</f>
        <v>0.1414</v>
      </c>
      <c r="D67" s="38" t="n">
        <v>0.35</v>
      </c>
      <c r="E67" s="39" t="n">
        <f aca="false">$B$64*D67</f>
        <v>705600</v>
      </c>
      <c r="F67" s="53" t="n">
        <f aca="false">ROUNDUP(E67/(1-C67),0)</f>
        <v>821803</v>
      </c>
      <c r="G67" s="39" t="n">
        <f aca="false">F67*C67</f>
        <v>116202.9442</v>
      </c>
    </row>
    <row r="68" customFormat="false" ht="15" hidden="false" customHeight="false" outlineLevel="0" collapsed="false">
      <c r="A68" s="50" t="n">
        <v>0.08</v>
      </c>
      <c r="B68" s="51" t="n">
        <v>0.06</v>
      </c>
      <c r="C68" s="52" t="n">
        <f aca="false">B68*(1+$B$61)</f>
        <v>0.0606</v>
      </c>
      <c r="D68" s="38" t="n">
        <v>0.25</v>
      </c>
      <c r="E68" s="39" t="n">
        <f aca="false">$B$64*D68</f>
        <v>504000</v>
      </c>
      <c r="F68" s="53" t="n">
        <f aca="false">ROUNDUP(E68/(1-C68),0)</f>
        <v>536513</v>
      </c>
      <c r="G68" s="39" t="n">
        <f aca="false">F68*C68</f>
        <v>32512.6878</v>
      </c>
    </row>
    <row r="69" customFormat="false" ht="15" hidden="false" customHeight="false" outlineLevel="0" collapsed="false">
      <c r="A69" s="15" t="s">
        <v>153</v>
      </c>
      <c r="D69" s="56" t="n">
        <f aca="false">SUM(D66:D68)</f>
        <v>1</v>
      </c>
      <c r="E69" s="57" t="n">
        <f aca="false">SUM(E66:E68)</f>
        <v>2016000</v>
      </c>
      <c r="F69" s="58" t="n">
        <f aca="false">SUM(F66:F68)</f>
        <v>2482689</v>
      </c>
      <c r="G69" s="57" t="n">
        <f aca="false">SUM(G66:G68)</f>
        <v>466688.3164</v>
      </c>
    </row>
    <row r="70" customFormat="false" ht="15" hidden="false" customHeight="false" outlineLevel="0" collapsed="false">
      <c r="A70" s="24" t="s">
        <v>158</v>
      </c>
      <c r="B70" s="25" t="n">
        <f aca="false">G69</f>
        <v>466688.3164</v>
      </c>
      <c r="C70" s="78" t="str">
        <f aca="false">IF(ABS(B70-466685)&lt;=5,"MATCHES DOC $466,685 (within $5 — see note below)","CHECK FAILED — expected ≈$466,685")</f>
        <v>MATCHES DOC $466,685 (within $5 — see note below)</v>
      </c>
      <c r="D70" s="78"/>
      <c r="E70" s="78"/>
      <c r="F70" s="78"/>
      <c r="G70" s="78"/>
      <c r="H70" s="78"/>
      <c r="I70" s="78"/>
      <c r="J70" s="78"/>
    </row>
    <row r="71" customFormat="false" ht="15" hidden="false" customHeight="true" outlineLevel="0" collapsed="false">
      <c r="A71" s="19" t="s">
        <v>488</v>
      </c>
      <c r="B71" s="61" t="n">
        <f aca="false">B70/B62</f>
        <v>0.0071798202523077</v>
      </c>
      <c r="C71" s="23" t="s">
        <v>489</v>
      </c>
      <c r="D71" s="23"/>
      <c r="E71" s="23"/>
      <c r="F71" s="23"/>
      <c r="G71" s="23"/>
      <c r="H71" s="23"/>
      <c r="I71" s="23"/>
    </row>
    <row r="72" customFormat="false" ht="15" hidden="false" customHeight="false" outlineLevel="0" collapsed="false">
      <c r="A72" s="24" t="s">
        <v>490</v>
      </c>
      <c r="B72" s="25" t="n">
        <f aca="false">F69-B70</f>
        <v>2016000.6836</v>
      </c>
      <c r="C72" s="78" t="str">
        <f aca="false">IF(ABS(B72-2016000)&lt;=25,"≈ C = $2.016M at the underwriting downside — program performs as designed (doc: +$2,015,980)","CHECK FAILED")</f>
        <v>≈ C = $2.016M at the underwriting downside — program performs as designed (doc: +$2,015,980)</v>
      </c>
      <c r="D72" s="78"/>
      <c r="E72" s="78"/>
      <c r="F72" s="78"/>
      <c r="G72" s="78"/>
      <c r="H72" s="78"/>
      <c r="I72" s="78"/>
      <c r="J72" s="78"/>
    </row>
    <row r="73" customFormat="false" ht="24" hidden="false" customHeight="true" outlineLevel="0" collapsed="false">
      <c r="A73" s="4" t="s">
        <v>491</v>
      </c>
      <c r="B73" s="4"/>
      <c r="C73" s="4"/>
      <c r="D73" s="4"/>
      <c r="E73" s="4"/>
      <c r="F73" s="4"/>
      <c r="G73" s="4"/>
      <c r="H73" s="4"/>
      <c r="I73" s="4"/>
      <c r="J73" s="4"/>
    </row>
    <row r="75" customFormat="false" ht="15" hidden="false" customHeight="false" outlineLevel="0" collapsed="false">
      <c r="A75" s="21" t="s">
        <v>492</v>
      </c>
      <c r="B75" s="21"/>
      <c r="C75" s="21"/>
      <c r="D75" s="21"/>
      <c r="E75" s="21"/>
      <c r="F75" s="21"/>
      <c r="G75" s="21"/>
      <c r="H75" s="21"/>
      <c r="I75" s="21"/>
      <c r="J75" s="21"/>
    </row>
    <row r="76" customFormat="false" ht="15" hidden="false" customHeight="false" outlineLevel="0" collapsed="false">
      <c r="A76" s="19" t="s">
        <v>493</v>
      </c>
      <c r="B76" s="22" t="n">
        <v>120000000</v>
      </c>
    </row>
    <row r="77" customFormat="false" ht="15" hidden="false" customHeight="false" outlineLevel="0" collapsed="false">
      <c r="A77" s="19" t="s">
        <v>494</v>
      </c>
      <c r="B77" s="33" t="n">
        <v>0.5</v>
      </c>
    </row>
    <row r="78" customFormat="false" ht="15" hidden="false" customHeight="false" outlineLevel="0" collapsed="false">
      <c r="A78" s="19" t="s">
        <v>495</v>
      </c>
      <c r="B78" s="33" t="n">
        <v>1</v>
      </c>
    </row>
    <row r="79" customFormat="false" ht="15" hidden="false" customHeight="false" outlineLevel="0" collapsed="false">
      <c r="A79" s="19" t="s">
        <v>496</v>
      </c>
      <c r="B79" s="32" t="n">
        <v>0.06</v>
      </c>
    </row>
    <row r="80" customFormat="false" ht="15" hidden="false" customHeight="false" outlineLevel="0" collapsed="false">
      <c r="A80" s="19" t="s">
        <v>497</v>
      </c>
      <c r="B80" s="26" t="n">
        <v>0.35</v>
      </c>
    </row>
    <row r="81" customFormat="false" ht="15" hidden="false" customHeight="false" outlineLevel="0" collapsed="false">
      <c r="A81" s="19" t="s">
        <v>484</v>
      </c>
      <c r="B81" s="32" t="n">
        <v>0.01</v>
      </c>
    </row>
    <row r="82" customFormat="false" ht="15" hidden="false" customHeight="false" outlineLevel="0" collapsed="false">
      <c r="A82" s="19" t="s">
        <v>498</v>
      </c>
      <c r="B82" s="22" t="n">
        <v>90000000</v>
      </c>
    </row>
    <row r="83" customFormat="false" ht="15" hidden="false" customHeight="false" outlineLevel="0" collapsed="false">
      <c r="A83" s="19" t="s">
        <v>486</v>
      </c>
      <c r="B83" s="48" t="n">
        <f aca="false">B77*B78</f>
        <v>0.5</v>
      </c>
    </row>
    <row r="84" customFormat="false" ht="15" hidden="false" customHeight="false" outlineLevel="0" collapsed="false">
      <c r="A84" s="24" t="s">
        <v>487</v>
      </c>
      <c r="B84" s="25" t="n">
        <f aca="false">B76*B83*B79*B80</f>
        <v>1260000</v>
      </c>
      <c r="C84" s="78" t="str">
        <f aca="false">IF(ROUND(B84,0)=1260000,"EXACT MATCH — $1,260,000 coverage target","CHECK FAILED — expected $1,260,000")</f>
        <v>EXACT MATCH — $1,260,000 coverage target</v>
      </c>
      <c r="D84" s="78"/>
      <c r="E84" s="78"/>
      <c r="F84" s="78"/>
      <c r="G84" s="78"/>
      <c r="H84" s="78"/>
      <c r="I84" s="78"/>
      <c r="J84" s="78"/>
    </row>
    <row r="85" customFormat="false" ht="15" hidden="false" customHeight="false" outlineLevel="0" collapsed="false">
      <c r="A85" s="34" t="s">
        <v>499</v>
      </c>
      <c r="B85" s="34" t="s">
        <v>145</v>
      </c>
      <c r="C85" s="34" t="s">
        <v>146</v>
      </c>
      <c r="D85" s="34" t="s">
        <v>147</v>
      </c>
      <c r="E85" s="34" t="s">
        <v>148</v>
      </c>
      <c r="F85" s="34" t="s">
        <v>149</v>
      </c>
      <c r="G85" s="34" t="s">
        <v>150</v>
      </c>
    </row>
    <row r="86" customFormat="false" ht="15" hidden="false" customHeight="false" outlineLevel="0" collapsed="false">
      <c r="A86" s="36" t="s">
        <v>500</v>
      </c>
      <c r="B86" s="51" t="n">
        <v>0.1</v>
      </c>
      <c r="C86" s="52" t="n">
        <f aca="false">B86*(1+$B$81)</f>
        <v>0.101</v>
      </c>
      <c r="D86" s="38" t="n">
        <v>0.4</v>
      </c>
      <c r="E86" s="39" t="n">
        <f aca="false">$B$84*D86</f>
        <v>504000</v>
      </c>
      <c r="F86" s="53" t="n">
        <f aca="false">ROUNDUP(E86/(1-C86),0)</f>
        <v>560623</v>
      </c>
      <c r="G86" s="39" t="n">
        <f aca="false">F86*C86</f>
        <v>56622.923</v>
      </c>
    </row>
    <row r="87" customFormat="false" ht="15" hidden="false" customHeight="false" outlineLevel="0" collapsed="false">
      <c r="A87" s="36" t="s">
        <v>501</v>
      </c>
      <c r="B87" s="51" t="n">
        <v>0.13</v>
      </c>
      <c r="C87" s="52" t="n">
        <f aca="false">B87*(1+$B$81)</f>
        <v>0.1313</v>
      </c>
      <c r="D87" s="38" t="n">
        <v>0.6</v>
      </c>
      <c r="E87" s="39" t="n">
        <f aca="false">$B$84*D87</f>
        <v>756000</v>
      </c>
      <c r="F87" s="53" t="n">
        <f aca="false">ROUNDUP(E87/(1-C87),0)</f>
        <v>870266</v>
      </c>
      <c r="G87" s="39" t="n">
        <f aca="false">F87*C87</f>
        <v>114265.9258</v>
      </c>
    </row>
    <row r="88" customFormat="false" ht="15" hidden="false" customHeight="false" outlineLevel="0" collapsed="false">
      <c r="A88" s="15" t="s">
        <v>153</v>
      </c>
      <c r="D88" s="56" t="n">
        <f aca="false">SUM(D86:D87)</f>
        <v>1</v>
      </c>
      <c r="E88" s="57" t="n">
        <f aca="false">SUM(E86:E87)</f>
        <v>1260000</v>
      </c>
      <c r="F88" s="58" t="n">
        <f aca="false">SUM(F86:F87)</f>
        <v>1430889</v>
      </c>
      <c r="G88" s="57" t="n">
        <f aca="false">SUM(G86:G87)</f>
        <v>170888.8488</v>
      </c>
    </row>
    <row r="89" customFormat="false" ht="15" hidden="false" customHeight="false" outlineLevel="0" collapsed="false">
      <c r="A89" s="24" t="s">
        <v>158</v>
      </c>
      <c r="B89" s="25" t="n">
        <f aca="false">G88</f>
        <v>170888.8488</v>
      </c>
      <c r="C89" s="78" t="str">
        <f aca="false">IF(ROUND(B89,0)=170889,"EXACT MATCH — $170,889 (doc: $170,889 = 0.19% of project cost)","CHECK FAILED — expected $170,889")</f>
        <v>EXACT MATCH — $170,889 (doc: $170,889 = 0.19% of project cost)</v>
      </c>
      <c r="D89" s="78"/>
      <c r="E89" s="78"/>
      <c r="F89" s="78"/>
      <c r="G89" s="78"/>
      <c r="H89" s="78"/>
      <c r="I89" s="78"/>
      <c r="J89" s="78"/>
    </row>
    <row r="90" customFormat="false" ht="15" hidden="false" customHeight="false" outlineLevel="0" collapsed="false">
      <c r="A90" s="19" t="s">
        <v>502</v>
      </c>
      <c r="B90" s="61" t="n">
        <f aca="false">B89/B82</f>
        <v>0.00189876498666667</v>
      </c>
    </row>
    <row r="91" customFormat="false" ht="15" hidden="false" customHeight="false" outlineLevel="0" collapsed="false">
      <c r="A91" s="19" t="s">
        <v>503</v>
      </c>
      <c r="B91" s="27" t="n">
        <f aca="false">F88-B89</f>
        <v>1260000.1512</v>
      </c>
      <c r="C91" s="79" t="str">
        <f aca="false">IF(ABS(B91-1260000)&lt;=5,"= C as designed; covers 35% (=F) of the modeled $3.6M impairment; residual is the deliberately unhedged share","CHECK FAILED")</f>
        <v>= C as designed; covers 35% (=F) of the modeled $3.6M impairment; residual is the deliberately unhedged share</v>
      </c>
      <c r="D91" s="79"/>
      <c r="E91" s="79"/>
      <c r="F91" s="79"/>
      <c r="G91" s="79"/>
      <c r="H91" s="79"/>
      <c r="I91" s="79"/>
      <c r="J91" s="79"/>
    </row>
    <row r="92" customFormat="false" ht="21.75" hidden="false" customHeight="true" outlineLevel="0" collapsed="false">
      <c r="A92" s="4" t="s">
        <v>504</v>
      </c>
      <c r="B92" s="4"/>
      <c r="C92" s="4"/>
      <c r="D92" s="4"/>
      <c r="E92" s="4"/>
      <c r="F92" s="4"/>
      <c r="G92" s="4"/>
      <c r="H92" s="4"/>
      <c r="I92" s="4"/>
      <c r="J92" s="4"/>
    </row>
    <row r="94" customFormat="false" ht="18" hidden="false" customHeight="true" outlineLevel="0" collapsed="false">
      <c r="A94" s="3" t="s">
        <v>505</v>
      </c>
      <c r="B94" s="3"/>
      <c r="C94" s="3"/>
      <c r="D94" s="3"/>
      <c r="E94" s="3"/>
      <c r="F94" s="3"/>
      <c r="G94" s="3"/>
      <c r="H94" s="3"/>
      <c r="I94" s="3"/>
      <c r="J94" s="3"/>
    </row>
    <row r="95" customFormat="false" ht="30" hidden="false" customHeight="true" outlineLevel="0" collapsed="false">
      <c r="A95" s="4" t="s">
        <v>506</v>
      </c>
      <c r="B95" s="4"/>
      <c r="C95" s="4"/>
      <c r="D95" s="4"/>
      <c r="E95" s="4"/>
      <c r="F95" s="4"/>
      <c r="G95" s="4"/>
      <c r="H95" s="4"/>
      <c r="I95" s="4"/>
      <c r="J95" s="4"/>
    </row>
    <row r="96" customFormat="false" ht="30" hidden="false" customHeight="true" outlineLevel="0" collapsed="false">
      <c r="A96" s="4" t="s">
        <v>507</v>
      </c>
      <c r="B96" s="4"/>
      <c r="C96" s="4"/>
      <c r="D96" s="4"/>
      <c r="E96" s="4"/>
      <c r="F96" s="4"/>
      <c r="G96" s="4"/>
      <c r="H96" s="4"/>
      <c r="I96" s="4"/>
      <c r="J96" s="4"/>
    </row>
    <row r="97" customFormat="false" ht="30" hidden="false" customHeight="true" outlineLevel="0" collapsed="false">
      <c r="A97" s="4" t="s">
        <v>508</v>
      </c>
      <c r="B97" s="4"/>
      <c r="C97" s="4"/>
      <c r="D97" s="4"/>
      <c r="E97" s="4"/>
      <c r="F97" s="4"/>
      <c r="G97" s="4"/>
      <c r="H97" s="4"/>
      <c r="I97" s="4"/>
      <c r="J97" s="4"/>
    </row>
    <row r="98" customFormat="false" ht="30" hidden="false" customHeight="true" outlineLevel="0" collapsed="false">
      <c r="A98" s="4" t="s">
        <v>509</v>
      </c>
      <c r="B98" s="4"/>
      <c r="C98" s="4"/>
      <c r="D98" s="4"/>
      <c r="E98" s="4"/>
      <c r="F98" s="4"/>
      <c r="G98" s="4"/>
      <c r="H98" s="4"/>
      <c r="I98" s="4"/>
      <c r="J98" s="4"/>
    </row>
    <row r="99" customFormat="false" ht="30" hidden="false" customHeight="true" outlineLevel="0" collapsed="false">
      <c r="A99" s="4" t="s">
        <v>510</v>
      </c>
      <c r="B99" s="4"/>
      <c r="C99" s="4"/>
      <c r="D99" s="4"/>
      <c r="E99" s="4"/>
      <c r="F99" s="4"/>
      <c r="G99" s="4"/>
      <c r="H99" s="4"/>
      <c r="I99" s="4"/>
      <c r="J99" s="4"/>
    </row>
    <row r="100" customFormat="false" ht="30" hidden="false" customHeight="true" outlineLevel="0" collapsed="false">
      <c r="A100" s="4" t="s">
        <v>511</v>
      </c>
      <c r="B100" s="4"/>
      <c r="C100" s="4"/>
      <c r="D100" s="4"/>
      <c r="E100" s="4"/>
      <c r="F100" s="4"/>
      <c r="G100" s="4"/>
      <c r="H100" s="4"/>
      <c r="I100" s="4"/>
      <c r="J100" s="4"/>
    </row>
    <row r="101" customFormat="false" ht="30" hidden="false" customHeight="true" outlineLevel="0" collapsed="false">
      <c r="A101" s="4" t="s">
        <v>512</v>
      </c>
      <c r="B101" s="4"/>
      <c r="C101" s="4"/>
      <c r="D101" s="4"/>
      <c r="E101" s="4"/>
      <c r="F101" s="4"/>
      <c r="G101" s="4"/>
      <c r="H101" s="4"/>
      <c r="I101" s="4"/>
      <c r="J101" s="4"/>
    </row>
    <row r="102" customFormat="false" ht="30" hidden="false" customHeight="true" outlineLevel="0" collapsed="false">
      <c r="A102" s="4" t="s">
        <v>513</v>
      </c>
      <c r="B102" s="4"/>
      <c r="C102" s="4"/>
      <c r="D102" s="4"/>
      <c r="E102" s="4"/>
      <c r="F102" s="4"/>
      <c r="G102" s="4"/>
      <c r="H102" s="4"/>
      <c r="I102" s="4"/>
      <c r="J102" s="4"/>
    </row>
    <row r="103" customFormat="false" ht="30" hidden="false" customHeight="true" outlineLevel="0" collapsed="false">
      <c r="A103" s="4" t="s">
        <v>514</v>
      </c>
      <c r="B103" s="4"/>
      <c r="C103" s="4"/>
      <c r="D103" s="4"/>
      <c r="E103" s="4"/>
      <c r="F103" s="4"/>
      <c r="G103" s="4"/>
      <c r="H103" s="4"/>
      <c r="I103" s="4"/>
      <c r="J103" s="4"/>
    </row>
    <row r="104" customFormat="false" ht="30" hidden="false" customHeight="true" outlineLevel="0" collapsed="false">
      <c r="A104" s="4" t="s">
        <v>515</v>
      </c>
      <c r="B104" s="4"/>
      <c r="C104" s="4"/>
      <c r="D104" s="4"/>
      <c r="E104" s="4"/>
      <c r="F104" s="4"/>
      <c r="G104" s="4"/>
      <c r="H104" s="4"/>
      <c r="I104" s="4"/>
      <c r="J104" s="4"/>
    </row>
    <row r="105" customFormat="false" ht="30" hidden="false" customHeight="true" outlineLevel="0" collapsed="false">
      <c r="A105" s="4" t="s">
        <v>516</v>
      </c>
      <c r="B105" s="4"/>
      <c r="C105" s="4"/>
      <c r="D105" s="4"/>
      <c r="E105" s="4"/>
      <c r="F105" s="4"/>
      <c r="G105" s="4"/>
      <c r="H105" s="4"/>
      <c r="I105" s="4"/>
      <c r="J105" s="4"/>
    </row>
  </sheetData>
  <mergeCells count="54">
    <mergeCell ref="A1:J1"/>
    <mergeCell ref="A2:J2"/>
    <mergeCell ref="A4:J4"/>
    <mergeCell ref="A15:J15"/>
    <mergeCell ref="A16:J16"/>
    <mergeCell ref="A18:J18"/>
    <mergeCell ref="A24:J24"/>
    <mergeCell ref="A26:J26"/>
    <mergeCell ref="C28:J28"/>
    <mergeCell ref="C29:J29"/>
    <mergeCell ref="C30:J30"/>
    <mergeCell ref="C31:J31"/>
    <mergeCell ref="C32:J32"/>
    <mergeCell ref="A33:J33"/>
    <mergeCell ref="A35:J35"/>
    <mergeCell ref="A36:J36"/>
    <mergeCell ref="A37:J37"/>
    <mergeCell ref="A38:J38"/>
    <mergeCell ref="A39:J39"/>
    <mergeCell ref="A40:J40"/>
    <mergeCell ref="A41:J41"/>
    <mergeCell ref="A42:J42"/>
    <mergeCell ref="A43:J43"/>
    <mergeCell ref="A44:J44"/>
    <mergeCell ref="A45:J45"/>
    <mergeCell ref="A47:J47"/>
    <mergeCell ref="A48:J48"/>
    <mergeCell ref="A49:J49"/>
    <mergeCell ref="A50:J50"/>
    <mergeCell ref="A51:J51"/>
    <mergeCell ref="A53:J53"/>
    <mergeCell ref="A54:J54"/>
    <mergeCell ref="C64:J64"/>
    <mergeCell ref="C70:J70"/>
    <mergeCell ref="C71:I71"/>
    <mergeCell ref="C72:J72"/>
    <mergeCell ref="A73:J73"/>
    <mergeCell ref="A75:J75"/>
    <mergeCell ref="C84:J84"/>
    <mergeCell ref="C89:J89"/>
    <mergeCell ref="C91:J91"/>
    <mergeCell ref="A92:J92"/>
    <mergeCell ref="A94:J94"/>
    <mergeCell ref="A95:J95"/>
    <mergeCell ref="A96:J96"/>
    <mergeCell ref="A97:J97"/>
    <mergeCell ref="A98:J98"/>
    <mergeCell ref="A99:J99"/>
    <mergeCell ref="A100:J100"/>
    <mergeCell ref="A101:J101"/>
    <mergeCell ref="A102:J102"/>
    <mergeCell ref="A103:J103"/>
    <mergeCell ref="A104:J104"/>
    <mergeCell ref="A105:J10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4A3B8"/>
    <pageSetUpPr fitToPage="false"/>
  </sheetPr>
  <dimension ref="A1:B4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2" min="2" style="0" width="110"/>
  </cols>
  <sheetData>
    <row r="1" customFormat="false" ht="30" hidden="false" customHeight="true" outlineLevel="0" collapsed="false">
      <c r="A1" s="17" t="s">
        <v>517</v>
      </c>
      <c r="B1" s="17"/>
    </row>
    <row r="2" customFormat="false" ht="25.5" hidden="false" customHeight="true" outlineLevel="0" collapsed="false">
      <c r="A2" s="18" t="s">
        <v>518</v>
      </c>
      <c r="B2" s="18"/>
    </row>
    <row r="4" customFormat="false" ht="18" hidden="false" customHeight="true" outlineLevel="0" collapsed="false">
      <c r="A4" s="3" t="s">
        <v>519</v>
      </c>
      <c r="B4" s="3"/>
    </row>
    <row r="5" customFormat="false" ht="24" hidden="false" customHeight="true" outlineLevel="0" collapsed="false">
      <c r="A5" s="80" t="s">
        <v>72</v>
      </c>
      <c r="B5" s="81" t="s">
        <v>520</v>
      </c>
    </row>
    <row r="6" customFormat="false" ht="24" hidden="false" customHeight="true" outlineLevel="0" collapsed="false">
      <c r="A6" s="80" t="s">
        <v>66</v>
      </c>
      <c r="B6" s="81" t="s">
        <v>521</v>
      </c>
    </row>
    <row r="7" customFormat="false" ht="24" hidden="false" customHeight="true" outlineLevel="0" collapsed="false">
      <c r="A7" s="80" t="s">
        <v>68</v>
      </c>
      <c r="B7" s="81" t="s">
        <v>522</v>
      </c>
    </row>
    <row r="8" customFormat="false" ht="24" hidden="false" customHeight="true" outlineLevel="0" collapsed="false">
      <c r="A8" s="80" t="s">
        <v>523</v>
      </c>
      <c r="B8" s="81" t="s">
        <v>524</v>
      </c>
    </row>
    <row r="9" customFormat="false" ht="24" hidden="false" customHeight="true" outlineLevel="0" collapsed="false">
      <c r="A9" s="80" t="s">
        <v>525</v>
      </c>
      <c r="B9" s="81" t="s">
        <v>526</v>
      </c>
    </row>
    <row r="10" customFormat="false" ht="24" hidden="false" customHeight="true" outlineLevel="0" collapsed="false">
      <c r="A10" s="80" t="s">
        <v>527</v>
      </c>
      <c r="B10" s="81" t="s">
        <v>528</v>
      </c>
    </row>
    <row r="11" customFormat="false" ht="24" hidden="false" customHeight="true" outlineLevel="0" collapsed="false">
      <c r="A11" s="80" t="s">
        <v>529</v>
      </c>
      <c r="B11" s="81" t="s">
        <v>530</v>
      </c>
    </row>
    <row r="12" customFormat="false" ht="24" hidden="false" customHeight="true" outlineLevel="0" collapsed="false">
      <c r="A12" s="80" t="s">
        <v>190</v>
      </c>
      <c r="B12" s="81" t="s">
        <v>531</v>
      </c>
    </row>
    <row r="13" customFormat="false" ht="24" hidden="false" customHeight="true" outlineLevel="0" collapsed="false">
      <c r="A13" s="80" t="s">
        <v>298</v>
      </c>
      <c r="B13" s="81" t="s">
        <v>532</v>
      </c>
    </row>
    <row r="14" customFormat="false" ht="24" hidden="false" customHeight="true" outlineLevel="0" collapsed="false">
      <c r="A14" s="80" t="s">
        <v>196</v>
      </c>
      <c r="B14" s="81" t="s">
        <v>533</v>
      </c>
    </row>
    <row r="15" customFormat="false" ht="24" hidden="false" customHeight="true" outlineLevel="0" collapsed="false">
      <c r="A15" s="80" t="s">
        <v>534</v>
      </c>
      <c r="B15" s="81" t="s">
        <v>535</v>
      </c>
    </row>
    <row r="16" customFormat="false" ht="24" hidden="false" customHeight="true" outlineLevel="0" collapsed="false">
      <c r="A16" s="80" t="s">
        <v>536</v>
      </c>
      <c r="B16" s="81" t="s">
        <v>537</v>
      </c>
    </row>
    <row r="17" customFormat="false" ht="24" hidden="false" customHeight="true" outlineLevel="0" collapsed="false">
      <c r="A17" s="80" t="s">
        <v>538</v>
      </c>
      <c r="B17" s="81" t="s">
        <v>539</v>
      </c>
    </row>
    <row r="19" customFormat="false" ht="18" hidden="false" customHeight="true" outlineLevel="0" collapsed="false">
      <c r="A19" s="3" t="s">
        <v>540</v>
      </c>
      <c r="B19" s="3"/>
    </row>
    <row r="20" customFormat="false" ht="24" hidden="false" customHeight="true" outlineLevel="0" collapsed="false">
      <c r="A20" s="80" t="s">
        <v>541</v>
      </c>
      <c r="B20" s="81" t="s">
        <v>542</v>
      </c>
    </row>
    <row r="21" customFormat="false" ht="24" hidden="false" customHeight="true" outlineLevel="0" collapsed="false">
      <c r="A21" s="80" t="s">
        <v>543</v>
      </c>
      <c r="B21" s="81" t="s">
        <v>544</v>
      </c>
    </row>
    <row r="22" customFormat="false" ht="24" hidden="false" customHeight="true" outlineLevel="0" collapsed="false">
      <c r="A22" s="80" t="s">
        <v>545</v>
      </c>
      <c r="B22" s="81" t="s">
        <v>546</v>
      </c>
    </row>
    <row r="23" customFormat="false" ht="24" hidden="false" customHeight="true" outlineLevel="0" collapsed="false">
      <c r="A23" s="80" t="s">
        <v>547</v>
      </c>
      <c r="B23" s="81" t="s">
        <v>548</v>
      </c>
    </row>
    <row r="24" customFormat="false" ht="24" hidden="false" customHeight="true" outlineLevel="0" collapsed="false">
      <c r="A24" s="80" t="s">
        <v>549</v>
      </c>
      <c r="B24" s="81" t="s">
        <v>550</v>
      </c>
    </row>
    <row r="25" customFormat="false" ht="24" hidden="false" customHeight="true" outlineLevel="0" collapsed="false">
      <c r="A25" s="80" t="s">
        <v>551</v>
      </c>
      <c r="B25" s="81" t="s">
        <v>552</v>
      </c>
    </row>
    <row r="26" customFormat="false" ht="24" hidden="false" customHeight="true" outlineLevel="0" collapsed="false">
      <c r="A26" s="80" t="s">
        <v>553</v>
      </c>
      <c r="B26" s="81" t="s">
        <v>554</v>
      </c>
    </row>
    <row r="27" customFormat="false" ht="24" hidden="false" customHeight="true" outlineLevel="0" collapsed="false">
      <c r="A27" s="80" t="s">
        <v>555</v>
      </c>
      <c r="B27" s="81" t="s">
        <v>556</v>
      </c>
    </row>
    <row r="28" customFormat="false" ht="24" hidden="false" customHeight="true" outlineLevel="0" collapsed="false">
      <c r="A28" s="80" t="s">
        <v>557</v>
      </c>
      <c r="B28" s="81" t="s">
        <v>558</v>
      </c>
    </row>
    <row r="29" customFormat="false" ht="24" hidden="false" customHeight="true" outlineLevel="0" collapsed="false">
      <c r="A29" s="80" t="s">
        <v>559</v>
      </c>
      <c r="B29" s="81" t="s">
        <v>560</v>
      </c>
    </row>
    <row r="30" customFormat="false" ht="24" hidden="false" customHeight="true" outlineLevel="0" collapsed="false">
      <c r="A30" s="80" t="s">
        <v>561</v>
      </c>
      <c r="B30" s="81" t="s">
        <v>562</v>
      </c>
    </row>
    <row r="31" customFormat="false" ht="24" hidden="false" customHeight="true" outlineLevel="0" collapsed="false">
      <c r="A31" s="80" t="s">
        <v>563</v>
      </c>
      <c r="B31" s="81" t="s">
        <v>564</v>
      </c>
    </row>
    <row r="32" customFormat="false" ht="24" hidden="false" customHeight="true" outlineLevel="0" collapsed="false">
      <c r="A32" s="80" t="s">
        <v>565</v>
      </c>
      <c r="B32" s="81" t="s">
        <v>566</v>
      </c>
    </row>
    <row r="33" customFormat="false" ht="24" hidden="false" customHeight="true" outlineLevel="0" collapsed="false">
      <c r="A33" s="80" t="s">
        <v>567</v>
      </c>
      <c r="B33" s="81" t="s">
        <v>568</v>
      </c>
    </row>
    <row r="34" customFormat="false" ht="24" hidden="false" customHeight="true" outlineLevel="0" collapsed="false">
      <c r="A34" s="80" t="s">
        <v>569</v>
      </c>
      <c r="B34" s="81" t="s">
        <v>570</v>
      </c>
    </row>
    <row r="35" customFormat="false" ht="24" hidden="false" customHeight="true" outlineLevel="0" collapsed="false">
      <c r="A35" s="80" t="s">
        <v>571</v>
      </c>
      <c r="B35" s="81" t="s">
        <v>572</v>
      </c>
    </row>
    <row r="37" customFormat="false" ht="18" hidden="false" customHeight="true" outlineLevel="0" collapsed="false">
      <c r="A37" s="3" t="s">
        <v>573</v>
      </c>
      <c r="B37" s="3"/>
    </row>
    <row r="38" customFormat="false" ht="24" hidden="false" customHeight="true" outlineLevel="0" collapsed="false">
      <c r="A38" s="80" t="s">
        <v>574</v>
      </c>
      <c r="B38" s="81" t="s">
        <v>575</v>
      </c>
    </row>
    <row r="39" customFormat="false" ht="24" hidden="false" customHeight="true" outlineLevel="0" collapsed="false">
      <c r="A39" s="80" t="s">
        <v>576</v>
      </c>
      <c r="B39" s="81" t="s">
        <v>577</v>
      </c>
    </row>
    <row r="40" customFormat="false" ht="24" hidden="false" customHeight="true" outlineLevel="0" collapsed="false">
      <c r="A40" s="80" t="s">
        <v>578</v>
      </c>
      <c r="B40" s="81" t="s">
        <v>579</v>
      </c>
    </row>
    <row r="41" customFormat="false" ht="24" hidden="false" customHeight="true" outlineLevel="0" collapsed="false">
      <c r="A41" s="80" t="s">
        <v>435</v>
      </c>
      <c r="B41" s="81" t="s">
        <v>580</v>
      </c>
    </row>
    <row r="42" customFormat="false" ht="24" hidden="false" customHeight="true" outlineLevel="0" collapsed="false">
      <c r="A42" s="80" t="s">
        <v>449</v>
      </c>
      <c r="B42" s="81" t="s">
        <v>581</v>
      </c>
    </row>
    <row r="43" customFormat="false" ht="24" hidden="false" customHeight="true" outlineLevel="0" collapsed="false">
      <c r="A43" s="80" t="s">
        <v>582</v>
      </c>
      <c r="B43" s="81" t="s">
        <v>583</v>
      </c>
    </row>
    <row r="44" customFormat="false" ht="24" hidden="false" customHeight="true" outlineLevel="0" collapsed="false">
      <c r="A44" s="80" t="s">
        <v>584</v>
      </c>
      <c r="B44" s="81" t="s">
        <v>585</v>
      </c>
    </row>
    <row r="45" customFormat="false" ht="24" hidden="false" customHeight="true" outlineLevel="0" collapsed="false">
      <c r="A45" s="80" t="s">
        <v>586</v>
      </c>
      <c r="B45" s="81" t="s">
        <v>587</v>
      </c>
    </row>
    <row r="46" customFormat="false" ht="24" hidden="false" customHeight="true" outlineLevel="0" collapsed="false">
      <c r="A46" s="80" t="s">
        <v>588</v>
      </c>
      <c r="B46" s="81" t="s">
        <v>589</v>
      </c>
    </row>
    <row r="47" customFormat="false" ht="24" hidden="false" customHeight="true" outlineLevel="0" collapsed="false">
      <c r="A47" s="80" t="s">
        <v>590</v>
      </c>
      <c r="B47" s="81" t="s">
        <v>591</v>
      </c>
    </row>
    <row r="48" customFormat="false" ht="24" hidden="false" customHeight="true" outlineLevel="0" collapsed="false">
      <c r="A48" s="80" t="s">
        <v>592</v>
      </c>
      <c r="B48" s="81" t="s">
        <v>593</v>
      </c>
    </row>
  </sheetData>
  <mergeCells count="5">
    <mergeCell ref="A1:B1"/>
    <mergeCell ref="A2:B2"/>
    <mergeCell ref="A4:B4"/>
    <mergeCell ref="A19:B19"/>
    <mergeCell ref="A37:B3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2026-07-16T00:17:06Z</dcterms:created>
  <dc:creator>openpyxl</dc:creator>
  <dc:description/>
  <dc:language>en-US</dc:language>
  <cp:lastModifiedBy/>
  <dcterms:modified xsi:type="dcterms:W3CDTF">2026-07-16T00:17:06Z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